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35" windowWidth="22755" windowHeight="9240"/>
  </bookViews>
  <sheets>
    <sheet name="TNTT 2020 (Xã)" sheetId="1" r:id="rId1"/>
    <sheet name="QT năm 2020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M44" i="1" l="1"/>
  <c r="N44" i="1"/>
  <c r="L44" i="1"/>
  <c r="N41" i="1"/>
  <c r="N42" i="1"/>
  <c r="N43" i="1"/>
  <c r="N40" i="1"/>
  <c r="L33" i="1"/>
  <c r="D38" i="1"/>
  <c r="E38" i="1"/>
  <c r="E96" i="1" s="1"/>
  <c r="F38" i="1"/>
  <c r="G38" i="1"/>
  <c r="H38" i="1"/>
  <c r="I38" i="1"/>
  <c r="I96" i="1" s="1"/>
  <c r="L38" i="1"/>
  <c r="M38" i="1"/>
  <c r="C38" i="1"/>
  <c r="N33" i="1"/>
  <c r="N38" i="1" s="1"/>
  <c r="N34" i="1"/>
  <c r="N35" i="1"/>
  <c r="N36" i="1"/>
  <c r="N37" i="1"/>
  <c r="N32" i="1"/>
  <c r="L18" i="2"/>
  <c r="AC16" i="2" s="1"/>
  <c r="AC15" i="2" s="1"/>
  <c r="N28" i="2"/>
  <c r="L29" i="2"/>
  <c r="L28" i="2"/>
  <c r="L24" i="1"/>
  <c r="N24" i="1" s="1"/>
  <c r="N25" i="1"/>
  <c r="N26" i="1"/>
  <c r="N27" i="1"/>
  <c r="N28" i="1"/>
  <c r="N29" i="1"/>
  <c r="L30" i="1"/>
  <c r="D96" i="1"/>
  <c r="H96" i="1"/>
  <c r="L96" i="1"/>
  <c r="C96" i="1"/>
  <c r="L67" i="1"/>
  <c r="M67" i="1"/>
  <c r="N63" i="1"/>
  <c r="N64" i="1"/>
  <c r="N65" i="1"/>
  <c r="N67" i="1" s="1"/>
  <c r="N66" i="1"/>
  <c r="N62" i="1"/>
  <c r="L59" i="1"/>
  <c r="L57" i="1"/>
  <c r="L56" i="1"/>
  <c r="L55" i="1"/>
  <c r="N55" i="1" s="1"/>
  <c r="L54" i="1"/>
  <c r="M60" i="1"/>
  <c r="N56" i="1"/>
  <c r="N57" i="1"/>
  <c r="N58" i="1"/>
  <c r="N59" i="1"/>
  <c r="N54" i="1"/>
  <c r="N52" i="1"/>
  <c r="N47" i="1"/>
  <c r="N48" i="1"/>
  <c r="N49" i="1"/>
  <c r="N50" i="1"/>
  <c r="N51" i="1"/>
  <c r="N46" i="1"/>
  <c r="M52" i="1"/>
  <c r="L52" i="1"/>
  <c r="M96" i="1" l="1"/>
  <c r="N60" i="1"/>
  <c r="L60" i="1"/>
  <c r="N70" i="1"/>
  <c r="N71" i="1"/>
  <c r="N73" i="1" s="1"/>
  <c r="N72" i="1"/>
  <c r="N69" i="1"/>
  <c r="L69" i="1"/>
  <c r="L73" i="1" s="1"/>
  <c r="D81" i="1"/>
  <c r="E81" i="1"/>
  <c r="F81" i="1"/>
  <c r="G81" i="1"/>
  <c r="H81" i="1"/>
  <c r="I81" i="1"/>
  <c r="J81" i="1"/>
  <c r="K81" i="1"/>
  <c r="L81" i="1"/>
  <c r="M81" i="1"/>
  <c r="N81" i="1"/>
  <c r="N75" i="1"/>
  <c r="N76" i="1"/>
  <c r="N77" i="1"/>
  <c r="N78" i="1"/>
  <c r="N79" i="1"/>
  <c r="N80" i="1"/>
  <c r="C81" i="1"/>
  <c r="D73" i="1"/>
  <c r="E73" i="1"/>
  <c r="F73" i="1"/>
  <c r="G73" i="1"/>
  <c r="H73" i="1"/>
  <c r="I73" i="1"/>
  <c r="M73" i="1"/>
  <c r="C73" i="1"/>
  <c r="M22" i="1" l="1"/>
  <c r="N22" i="1"/>
  <c r="N14" i="1"/>
  <c r="M14" i="1"/>
  <c r="N10" i="1"/>
  <c r="N11" i="1"/>
  <c r="N12" i="1"/>
  <c r="N13" i="1"/>
  <c r="N9" i="1"/>
  <c r="N15" i="1"/>
  <c r="N17" i="1"/>
  <c r="N18" i="1"/>
  <c r="N19" i="1"/>
  <c r="N20" i="1"/>
  <c r="N21" i="1"/>
  <c r="N16" i="1"/>
  <c r="D22" i="1"/>
  <c r="E22" i="1"/>
  <c r="F22" i="1"/>
  <c r="G22" i="1"/>
  <c r="H22" i="1"/>
  <c r="I22" i="1"/>
  <c r="J22" i="1"/>
  <c r="K22" i="1"/>
  <c r="L22" i="1"/>
  <c r="C22" i="1"/>
  <c r="M88" i="1"/>
  <c r="N88" i="1"/>
  <c r="N83" i="1"/>
  <c r="N84" i="1"/>
  <c r="N85" i="1"/>
  <c r="N86" i="1"/>
  <c r="N87" i="1"/>
  <c r="N89" i="1"/>
  <c r="N91" i="1"/>
  <c r="N92" i="1"/>
  <c r="N93" i="1"/>
  <c r="N94" i="1"/>
  <c r="N90" i="1"/>
  <c r="L91" i="1"/>
  <c r="D95" i="1"/>
  <c r="E95" i="1"/>
  <c r="F95" i="1"/>
  <c r="G95" i="1"/>
  <c r="H95" i="1"/>
  <c r="I95" i="1"/>
  <c r="L95" i="1"/>
  <c r="N95" i="1" s="1"/>
  <c r="M95" i="1"/>
  <c r="C95" i="1"/>
  <c r="D88" i="1"/>
  <c r="E88" i="1"/>
  <c r="F88" i="1"/>
  <c r="G88" i="1"/>
  <c r="H88" i="1"/>
  <c r="I88" i="1"/>
  <c r="L88" i="1"/>
  <c r="C88" i="1"/>
  <c r="L85" i="1"/>
  <c r="L86" i="1"/>
  <c r="L87" i="1"/>
  <c r="L84" i="1"/>
  <c r="L83" i="1"/>
  <c r="I37" i="1"/>
  <c r="I36" i="1"/>
  <c r="F36" i="1"/>
  <c r="F37" i="1"/>
  <c r="D30" i="1"/>
  <c r="E30" i="1"/>
  <c r="H30" i="1"/>
  <c r="J30" i="1"/>
  <c r="K30" i="1"/>
  <c r="N30" i="1"/>
  <c r="N96" i="1" s="1"/>
  <c r="C30" i="1"/>
  <c r="L11" i="1"/>
  <c r="L12" i="1"/>
  <c r="L13" i="1"/>
  <c r="L10" i="1"/>
  <c r="L9" i="1"/>
  <c r="D14" i="1"/>
  <c r="E14" i="1"/>
  <c r="H14" i="1"/>
  <c r="C14" i="1"/>
  <c r="W21" i="2"/>
  <c r="V21" i="2"/>
  <c r="U21" i="2"/>
  <c r="T21" i="2"/>
  <c r="S21" i="2"/>
  <c r="R21" i="2"/>
  <c r="Q21" i="2"/>
  <c r="P21" i="2"/>
  <c r="N21" i="2"/>
  <c r="M21" i="2"/>
  <c r="L21" i="2"/>
  <c r="J21" i="2"/>
  <c r="I21" i="2"/>
  <c r="H21" i="2"/>
  <c r="G21" i="2"/>
  <c r="F21" i="2"/>
  <c r="D21" i="2"/>
  <c r="C21" i="2"/>
  <c r="AF20" i="2"/>
  <c r="AC20" i="2"/>
  <c r="X20" i="2"/>
  <c r="O20" i="2"/>
  <c r="K20" i="2"/>
  <c r="E20" i="2"/>
  <c r="D20" i="2"/>
  <c r="AF19" i="2"/>
  <c r="X19" i="2"/>
  <c r="O19" i="2"/>
  <c r="K19" i="2"/>
  <c r="E19" i="2"/>
  <c r="D19" i="2"/>
  <c r="AF18" i="2"/>
  <c r="X18" i="2"/>
  <c r="O18" i="2"/>
  <c r="K18" i="2"/>
  <c r="E18" i="2"/>
  <c r="D18" i="2"/>
  <c r="AF17" i="2"/>
  <c r="AC17" i="2"/>
  <c r="X17" i="2"/>
  <c r="O17" i="2"/>
  <c r="K17" i="2"/>
  <c r="E17" i="2"/>
  <c r="Y17" i="2" s="1"/>
  <c r="D17" i="2"/>
  <c r="AF16" i="2"/>
  <c r="X16" i="2"/>
  <c r="O16" i="2"/>
  <c r="K16" i="2"/>
  <c r="E16" i="2"/>
  <c r="D16" i="2"/>
  <c r="AF15" i="2"/>
  <c r="X15" i="2"/>
  <c r="O15" i="2"/>
  <c r="K15" i="2"/>
  <c r="E15" i="2"/>
  <c r="D15" i="2"/>
  <c r="AF14" i="2"/>
  <c r="AC14" i="2"/>
  <c r="X14" i="2"/>
  <c r="O14" i="2"/>
  <c r="K14" i="2"/>
  <c r="E14" i="2"/>
  <c r="Y14" i="2" s="1"/>
  <c r="D14" i="2"/>
  <c r="AF13" i="2"/>
  <c r="AC13" i="2"/>
  <c r="X13" i="2"/>
  <c r="O13" i="2"/>
  <c r="K13" i="2"/>
  <c r="E13" i="2"/>
  <c r="Y13" i="2" s="1"/>
  <c r="D13" i="2"/>
  <c r="AF12" i="2"/>
  <c r="AC12" i="2"/>
  <c r="X12" i="2"/>
  <c r="O12" i="2"/>
  <c r="K12" i="2"/>
  <c r="E12" i="2"/>
  <c r="D12" i="2"/>
  <c r="AF11" i="2"/>
  <c r="AC11" i="2"/>
  <c r="X11" i="2"/>
  <c r="O11" i="2"/>
  <c r="K11" i="2"/>
  <c r="E11" i="2"/>
  <c r="D11" i="2"/>
  <c r="AF10" i="2"/>
  <c r="AC10" i="2"/>
  <c r="X10" i="2"/>
  <c r="O10" i="2"/>
  <c r="K10" i="2"/>
  <c r="E10" i="2"/>
  <c r="Y10" i="2" s="1"/>
  <c r="D10" i="2"/>
  <c r="AF9" i="2"/>
  <c r="AC9" i="2"/>
  <c r="X9" i="2"/>
  <c r="X21" i="2" s="1"/>
  <c r="O9" i="2"/>
  <c r="K9" i="2"/>
  <c r="K21" i="2" s="1"/>
  <c r="E9" i="2"/>
  <c r="D9" i="2"/>
  <c r="Y18" i="2" l="1"/>
  <c r="E21" i="2"/>
  <c r="G36" i="1"/>
  <c r="L14" i="1"/>
  <c r="G37" i="1"/>
  <c r="Y12" i="2"/>
  <c r="AA12" i="2" s="1"/>
  <c r="Y16" i="2"/>
  <c r="Z16" i="2" s="1"/>
  <c r="AA16" i="2" s="1"/>
  <c r="Y20" i="2"/>
  <c r="Y11" i="2"/>
  <c r="AA11" i="2" s="1"/>
  <c r="Y15" i="2"/>
  <c r="O21" i="2"/>
  <c r="Y19" i="2"/>
  <c r="AA13" i="2"/>
  <c r="Z13" i="2"/>
  <c r="Z12" i="2"/>
  <c r="Z20" i="2"/>
  <c r="AA20" i="2"/>
  <c r="Z11" i="2"/>
  <c r="Z15" i="2"/>
  <c r="AA15" i="2" s="1"/>
  <c r="Z19" i="2"/>
  <c r="Z10" i="2"/>
  <c r="AA10" i="2"/>
  <c r="Z14" i="2"/>
  <c r="AA14" i="2" s="1"/>
  <c r="AA17" i="2"/>
  <c r="Z17" i="2"/>
  <c r="Y9" i="2"/>
  <c r="Z18" i="2" l="1"/>
  <c r="AA18" i="2" s="1"/>
  <c r="AA19" i="2"/>
  <c r="Y21" i="2"/>
  <c r="Z9" i="2"/>
  <c r="Z21" i="2" l="1"/>
  <c r="AA9" i="2"/>
  <c r="AA21" i="2" s="1"/>
  <c r="F11" i="1" l="1"/>
  <c r="I11" i="1"/>
  <c r="F12" i="1"/>
  <c r="G12" i="1" s="1"/>
  <c r="I12" i="1"/>
  <c r="F13" i="1"/>
  <c r="G13" i="1" s="1"/>
  <c r="I13" i="1"/>
  <c r="F16" i="1"/>
  <c r="I16" i="1"/>
  <c r="F17" i="1"/>
  <c r="G17" i="1" s="1"/>
  <c r="I17" i="1"/>
  <c r="F18" i="1"/>
  <c r="G18" i="1" s="1"/>
  <c r="I18" i="1"/>
  <c r="F19" i="1"/>
  <c r="G19" i="1" s="1"/>
  <c r="I19" i="1"/>
  <c r="F20" i="1"/>
  <c r="G20" i="1" s="1"/>
  <c r="I20" i="1"/>
  <c r="F21" i="1"/>
  <c r="G21" i="1"/>
  <c r="I21" i="1"/>
  <c r="F24" i="1"/>
  <c r="I24" i="1"/>
  <c r="F25" i="1"/>
  <c r="G25" i="1" s="1"/>
  <c r="I25" i="1"/>
  <c r="F26" i="1"/>
  <c r="G26" i="1" s="1"/>
  <c r="I26" i="1"/>
  <c r="F27" i="1"/>
  <c r="G27" i="1" s="1"/>
  <c r="I27" i="1"/>
  <c r="F28" i="1"/>
  <c r="G28" i="1" s="1"/>
  <c r="I28" i="1"/>
  <c r="F29" i="1"/>
  <c r="I29" i="1"/>
  <c r="F32" i="1"/>
  <c r="G32" i="1" s="1"/>
  <c r="I32" i="1"/>
  <c r="F33" i="1"/>
  <c r="G33" i="1" s="1"/>
  <c r="I33" i="1"/>
  <c r="F34" i="1"/>
  <c r="G34" i="1" s="1"/>
  <c r="I34" i="1"/>
  <c r="F35" i="1"/>
  <c r="G35" i="1" s="1"/>
  <c r="I35" i="1"/>
  <c r="F40" i="1"/>
  <c r="G40" i="1" s="1"/>
  <c r="I40" i="1"/>
  <c r="F41" i="1"/>
  <c r="G41" i="1" s="1"/>
  <c r="I41" i="1"/>
  <c r="F42" i="1"/>
  <c r="G42" i="1" s="1"/>
  <c r="I42" i="1"/>
  <c r="F43" i="1"/>
  <c r="G43" i="1" s="1"/>
  <c r="I43" i="1"/>
  <c r="F46" i="1"/>
  <c r="G46" i="1" s="1"/>
  <c r="I46" i="1"/>
  <c r="F47" i="1"/>
  <c r="G47" i="1" s="1"/>
  <c r="I47" i="1"/>
  <c r="F48" i="1"/>
  <c r="G48" i="1" s="1"/>
  <c r="I48" i="1"/>
  <c r="F49" i="1"/>
  <c r="G49" i="1" s="1"/>
  <c r="I49" i="1"/>
  <c r="F50" i="1"/>
  <c r="G50" i="1" s="1"/>
  <c r="I50" i="1"/>
  <c r="F51" i="1"/>
  <c r="G51" i="1" s="1"/>
  <c r="I51" i="1"/>
  <c r="F54" i="1"/>
  <c r="G54" i="1"/>
  <c r="I54" i="1"/>
  <c r="F55" i="1"/>
  <c r="G55" i="1" s="1"/>
  <c r="I55" i="1"/>
  <c r="F56" i="1"/>
  <c r="G56" i="1" s="1"/>
  <c r="I56" i="1"/>
  <c r="F57" i="1"/>
  <c r="G57" i="1" s="1"/>
  <c r="I57" i="1"/>
  <c r="F58" i="1"/>
  <c r="G58" i="1" s="1"/>
  <c r="I58" i="1"/>
  <c r="F59" i="1"/>
  <c r="G59" i="1" s="1"/>
  <c r="I59" i="1"/>
  <c r="F62" i="1"/>
  <c r="G62" i="1" s="1"/>
  <c r="I62" i="1"/>
  <c r="F63" i="1"/>
  <c r="G63" i="1" s="1"/>
  <c r="I63" i="1"/>
  <c r="F64" i="1"/>
  <c r="G64" i="1" s="1"/>
  <c r="I64" i="1"/>
  <c r="F65" i="1"/>
  <c r="G65" i="1" s="1"/>
  <c r="I65" i="1"/>
  <c r="F66" i="1"/>
  <c r="G66" i="1" s="1"/>
  <c r="I66" i="1"/>
  <c r="F69" i="1"/>
  <c r="G69" i="1" s="1"/>
  <c r="I69" i="1"/>
  <c r="F70" i="1"/>
  <c r="G70" i="1" s="1"/>
  <c r="I70" i="1"/>
  <c r="F71" i="1"/>
  <c r="G71" i="1" s="1"/>
  <c r="I71" i="1"/>
  <c r="F72" i="1"/>
  <c r="G72" i="1" s="1"/>
  <c r="I72" i="1"/>
  <c r="F75" i="1"/>
  <c r="G75" i="1" s="1"/>
  <c r="I75" i="1"/>
  <c r="F76" i="1"/>
  <c r="G76" i="1" s="1"/>
  <c r="I76" i="1"/>
  <c r="F77" i="1"/>
  <c r="G77" i="1" s="1"/>
  <c r="I77" i="1"/>
  <c r="F78" i="1"/>
  <c r="G78" i="1" s="1"/>
  <c r="I78" i="1"/>
  <c r="F79" i="1"/>
  <c r="G79" i="1" s="1"/>
  <c r="I79" i="1"/>
  <c r="F80" i="1"/>
  <c r="G80" i="1" s="1"/>
  <c r="I80" i="1"/>
  <c r="F83" i="1"/>
  <c r="G83" i="1" s="1"/>
  <c r="I83" i="1"/>
  <c r="F84" i="1"/>
  <c r="G84" i="1" s="1"/>
  <c r="I84" i="1"/>
  <c r="F85" i="1"/>
  <c r="G85" i="1" s="1"/>
  <c r="I85" i="1"/>
  <c r="F86" i="1"/>
  <c r="G86" i="1" s="1"/>
  <c r="I86" i="1"/>
  <c r="F87" i="1"/>
  <c r="G87" i="1" s="1"/>
  <c r="I87" i="1"/>
  <c r="F90" i="1"/>
  <c r="G90" i="1" s="1"/>
  <c r="I90" i="1"/>
  <c r="F91" i="1"/>
  <c r="G91" i="1" s="1"/>
  <c r="I91" i="1"/>
  <c r="F92" i="1"/>
  <c r="G92" i="1" s="1"/>
  <c r="I92" i="1"/>
  <c r="F93" i="1"/>
  <c r="G93" i="1" s="1"/>
  <c r="I93" i="1"/>
  <c r="F94" i="1"/>
  <c r="G94" i="1" s="1"/>
  <c r="I94" i="1"/>
  <c r="I10" i="1"/>
  <c r="I9" i="1"/>
  <c r="F10" i="1"/>
  <c r="F9" i="1"/>
  <c r="G96" i="1" l="1"/>
  <c r="F96" i="1"/>
  <c r="I14" i="1"/>
  <c r="I30" i="1"/>
  <c r="G11" i="1"/>
  <c r="F14" i="1"/>
  <c r="G24" i="1"/>
  <c r="F30" i="1"/>
  <c r="G16" i="1"/>
  <c r="G29" i="1"/>
  <c r="G9" i="1"/>
  <c r="G10" i="1"/>
  <c r="G30" i="1" l="1"/>
  <c r="G14" i="1"/>
</calcChain>
</file>

<file path=xl/sharedStrings.xml><?xml version="1.0" encoding="utf-8"?>
<sst xmlns="http://schemas.openxmlformats.org/spreadsheetml/2006/main" count="254" uniqueCount="173">
  <si>
    <t xml:space="preserve">                 SỞ Y TẾ NGHỆ AN </t>
  </si>
  <si>
    <t>TRUNG TÂM Y TẾ HUYỆN QUỲ CHÂU</t>
  </si>
  <si>
    <t>TT</t>
  </si>
  <si>
    <t>Họ và tên</t>
  </si>
  <si>
    <t>Hệ số lương</t>
  </si>
  <si>
    <t>Chức vụ</t>
  </si>
  <si>
    <t>Vượt khung</t>
  </si>
  <si>
    <t>Tổng HS, VK</t>
  </si>
  <si>
    <t xml:space="preserve">Tổng lương </t>
  </si>
  <si>
    <t xml:space="preserve">Xếp loại </t>
  </si>
  <si>
    <t xml:space="preserve">Ngày công </t>
  </si>
  <si>
    <t>Hệ số K</t>
  </si>
  <si>
    <t xml:space="preserve">Tỷ lệ quy đổi </t>
  </si>
  <si>
    <t xml:space="preserve">Thu nhập tăng thêm </t>
  </si>
  <si>
    <t>Thưởng thi đua năm 2019</t>
  </si>
  <si>
    <t xml:space="preserve">Tổng tiền </t>
  </si>
  <si>
    <t>Ghi chú</t>
  </si>
  <si>
    <t>I</t>
  </si>
  <si>
    <t>A</t>
  </si>
  <si>
    <t>II</t>
  </si>
  <si>
    <t>Đinh Ngọc Khiêm</t>
  </si>
  <si>
    <t>III</t>
  </si>
  <si>
    <t>IV</t>
  </si>
  <si>
    <t>V</t>
  </si>
  <si>
    <t>VI</t>
  </si>
  <si>
    <t>VII</t>
  </si>
  <si>
    <t>VIII</t>
  </si>
  <si>
    <t>IX</t>
  </si>
  <si>
    <t>X</t>
  </si>
  <si>
    <t>Lê Thị Nga</t>
  </si>
  <si>
    <t>Vi Thị Lan</t>
  </si>
  <si>
    <t>Sầm Thị Hà</t>
  </si>
  <si>
    <t>XI</t>
  </si>
  <si>
    <t>XII</t>
  </si>
  <si>
    <t>Tiền ghi bằng chữ:</t>
  </si>
  <si>
    <t>Quỳ châu, ngày 04 tháng 2 năm 2021</t>
  </si>
  <si>
    <t xml:space="preserve">NGƯỜI LẬP BIỂU </t>
  </si>
  <si>
    <t>KẾ TOÁN TRƯỞNG</t>
  </si>
  <si>
    <t xml:space="preserve">THỦ TRƯỞNG ĐƠN VỊ </t>
  </si>
  <si>
    <t xml:space="preserve">     Lê Hữu Ngọc</t>
  </si>
  <si>
    <t xml:space="preserve">Đặng Tân Minh </t>
  </si>
  <si>
    <t>THỊ TRẤN</t>
  </si>
  <si>
    <t>Vi Thị Chuyên</t>
  </si>
  <si>
    <t>Nguyễn Thị Hiền</t>
  </si>
  <si>
    <t>Vi Thị Đào</t>
  </si>
  <si>
    <t>Nguyễn Thị Loan</t>
  </si>
  <si>
    <t>Cộng:</t>
  </si>
  <si>
    <t>CHÂU HẠNH</t>
  </si>
  <si>
    <t>Trần Thị Châu</t>
  </si>
  <si>
    <t>Bùi Thị Hạnh</t>
  </si>
  <si>
    <t>Lê Thị Hòa</t>
  </si>
  <si>
    <t>Lê Thị Phương Thảo</t>
  </si>
  <si>
    <t>CHÂU HỘI</t>
  </si>
  <si>
    <t>Lương Thị Hiền</t>
  </si>
  <si>
    <t>Lương Thị Ngân</t>
  </si>
  <si>
    <t>Sầm Thị Hảo</t>
  </si>
  <si>
    <t>Lữ Thị Thành</t>
  </si>
  <si>
    <t>Hà Thị Lý</t>
  </si>
  <si>
    <t>Lữ Thị Mai Lê</t>
  </si>
  <si>
    <t>CHÂU BÌNH</t>
  </si>
  <si>
    <t>Vi Thị Hiền</t>
  </si>
  <si>
    <t>Nguyễn Thị Nhàn</t>
  </si>
  <si>
    <t>Nguyễn Thị Liên</t>
  </si>
  <si>
    <t>Tạ Thị Châu</t>
  </si>
  <si>
    <t>Lương Thị Nga</t>
  </si>
  <si>
    <t>CHÂU NGA</t>
  </si>
  <si>
    <t>Lang Văn Hùng</t>
  </si>
  <si>
    <t>Nguyễn Thị Hồng Vân</t>
  </si>
  <si>
    <t>Vi Đức Sinh</t>
  </si>
  <si>
    <t>CHÂU THẮNG</t>
  </si>
  <si>
    <t>Sầm Thị Thanh</t>
  </si>
  <si>
    <t>Sầm Thị Mười</t>
  </si>
  <si>
    <t>Lữ Thị Thanh</t>
  </si>
  <si>
    <t>Nguyễn Thị Nhung</t>
  </si>
  <si>
    <t>Lô Thị Hồng Nhi</t>
  </si>
  <si>
    <t>Vi Thị Chi</t>
  </si>
  <si>
    <t>CHÂU TIẾN</t>
  </si>
  <si>
    <t>Trần Xuân Hòa</t>
  </si>
  <si>
    <t>Hà Thị Thơ</t>
  </si>
  <si>
    <t>Lê Thị An</t>
  </si>
  <si>
    <t>Lang Thị Hoài</t>
  </si>
  <si>
    <t>Tăng Văn Tân</t>
  </si>
  <si>
    <t>Vi Thị Hồng</t>
  </si>
  <si>
    <t>CHÂU BÍNH</t>
  </si>
  <si>
    <t>Trần Thị Xuyến</t>
  </si>
  <si>
    <t>Vi Thị Lý</t>
  </si>
  <si>
    <t>Vang Thanh Bình</t>
  </si>
  <si>
    <t>Mạc Thị Thuyết</t>
  </si>
  <si>
    <t>Phan Thu Hương</t>
  </si>
  <si>
    <t>CHÂU THUẬN</t>
  </si>
  <si>
    <t>Lê Thị Quỳnh Giang</t>
  </si>
  <si>
    <t xml:space="preserve">Phạm Thị Ngọc </t>
  </si>
  <si>
    <t>Trương Thị Thủy</t>
  </si>
  <si>
    <t>Lương Thị Thủy</t>
  </si>
  <si>
    <t>CHÂU PHONG</t>
  </si>
  <si>
    <t>Vi Văn Đào</t>
  </si>
  <si>
    <t>Trương Thị Hiền</t>
  </si>
  <si>
    <t>Quang Văn Dũng</t>
  </si>
  <si>
    <t>Lô Văn Hải</t>
  </si>
  <si>
    <t>Phạm Thị Vân</t>
  </si>
  <si>
    <t>Vi Thị Kim Chi</t>
  </si>
  <si>
    <t>CHÂU HOÀN</t>
  </si>
  <si>
    <t>Lữ Ngọc Chuyển</t>
  </si>
  <si>
    <t>Quang Thị Hương</t>
  </si>
  <si>
    <t>Lữ Bình Ngọc</t>
  </si>
  <si>
    <t>Lang Văn Như</t>
  </si>
  <si>
    <t>Vi Thị Nhung</t>
  </si>
  <si>
    <t>DIÊN LÃM</t>
  </si>
  <si>
    <t>Hà Văn Bính</t>
  </si>
  <si>
    <t>Vi Minh Đức</t>
  </si>
  <si>
    <t>Quang Thị Hồng</t>
  </si>
  <si>
    <t>Lô Thị Tâm</t>
  </si>
  <si>
    <t>Tổng cộng 12 trạm y tế:</t>
  </si>
  <si>
    <t>SỞ Y TẾ NGHỆ AN</t>
  </si>
  <si>
    <t>TRUNG TÂM Y TẾ QUỲ CHÂU</t>
  </si>
  <si>
    <t>TỔNG HỢP KINH PHÍ CỦA TRẠM Y TẾ XÃ NĂM 2020</t>
  </si>
  <si>
    <t>Trạm y tế</t>
  </si>
  <si>
    <t>Số lượt KCB</t>
  </si>
  <si>
    <t>số ngày điều trị</t>
  </si>
  <si>
    <t>TỔNG THU</t>
  </si>
  <si>
    <t>Các khoản thu</t>
  </si>
  <si>
    <t>TỔNG CHI</t>
  </si>
  <si>
    <t>Các khoản chi</t>
  </si>
  <si>
    <t>CHÊNH LỆCH</t>
  </si>
  <si>
    <t>Trích 35% bù lương</t>
  </si>
  <si>
    <t>TRÍCH CÁC LOẠI QUỸ</t>
  </si>
  <si>
    <t>CĐHA</t>
  </si>
  <si>
    <t>Tiền thuốc, máu, dịch truyền</t>
  </si>
  <si>
    <t>Tiền thủ thuật</t>
  </si>
  <si>
    <t>Tiền VTYT</t>
  </si>
  <si>
    <t>Xét nghiệm HIV năm 2020</t>
  </si>
  <si>
    <t>Xét nghiệm HIV tháng 12 năm 2019</t>
  </si>
  <si>
    <t>Thu ARV</t>
  </si>
  <si>
    <t>Ngày giường</t>
  </si>
  <si>
    <t>Tiền khám</t>
  </si>
  <si>
    <t>Thuốc, VTYT,..</t>
  </si>
  <si>
    <t xml:space="preserve"> Trích bù lương (theo giá viện phí đã cơ cấu tiền lương TT37, TT13)</t>
  </si>
  <si>
    <t>Tiền thưởng đã chi ngày 30/4/2020 và 02/9/2020</t>
  </si>
  <si>
    <t>Tiền chi liên hoan cb về hưu</t>
  </si>
  <si>
    <t>Tiền PCCC</t>
  </si>
  <si>
    <t>Chi ARV ( tính cả bù lương 35%)</t>
  </si>
  <si>
    <t xml:space="preserve">Bảo hiểm từ chối thanh toán (Quý 4/2019) </t>
  </si>
  <si>
    <t>Bảo hiểm từ chối thanh toán ( Quý I,II,III năm 2020)</t>
  </si>
  <si>
    <t>VTYT ngoài danh mục BHYT thanh toán,có test HIV tháng 12 năm 2019 ( nhận tại kho Y cụ)</t>
  </si>
  <si>
    <t>5= 6 +…+14</t>
  </si>
  <si>
    <t>15=16+…+23</t>
  </si>
  <si>
    <t>25=5-15</t>
  </si>
  <si>
    <t>26=25*35%</t>
  </si>
  <si>
    <t>27=25-26</t>
  </si>
  <si>
    <t>Thị Trấn</t>
  </si>
  <si>
    <t>Châu Bính</t>
  </si>
  <si>
    <t>Châu Thuận</t>
  </si>
  <si>
    <t>Châu Hội</t>
  </si>
  <si>
    <t>Châu Nga</t>
  </si>
  <si>
    <t>Châu Tiến</t>
  </si>
  <si>
    <t>Châu Hạnh</t>
  </si>
  <si>
    <t>Châu Thắng</t>
  </si>
  <si>
    <t>Châu Phong</t>
  </si>
  <si>
    <t>Châu Bình</t>
  </si>
  <si>
    <t>Châu Hoàn</t>
  </si>
  <si>
    <t>Diên Lãm</t>
  </si>
  <si>
    <t>Tổng Cộng:</t>
  </si>
  <si>
    <t>Ghi chú: Số liệu KCB BHYT bị BHXH xuất toán quý 4 năm 2020 của các trạm y tế ( nếu có) sẽ được tính trừ vào năm 2021</t>
  </si>
  <si>
    <t>Quú ch©u, ngµy  05   th¸ng  01  n¨m 2021</t>
  </si>
  <si>
    <t>Ng­êi lËp</t>
  </si>
  <si>
    <t>KÕ to¸n tr­ëng</t>
  </si>
  <si>
    <t>Thñ tr­ëng ®¬n vÞ</t>
  </si>
  <si>
    <t>(Ký, hä tªn )</t>
  </si>
  <si>
    <t>(Ký, hä tªn , ®ãng dÊu)</t>
  </si>
  <si>
    <t>Phạm Thị Nhi</t>
  </si>
  <si>
    <t>BẢNG THANH TOÁN TIỀN THU NHẬP TĂNG THÊM Quý 4 NĂM 2020</t>
  </si>
  <si>
    <t>(Theo Quyết định số:              /QĐ-TTYT ngày               /02/2020 của Giám đốc Trung tâm y tế huyện Quỳ châu)</t>
  </si>
  <si>
    <t xml:space="preserve">Lưu ý không có trong bảng trả lương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</si>
</sst>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₫_-;\-* #,##0.00\ _₫_-;_-* &quot;-&quot;??\ _₫_-;_-@_-"/>
    <numFmt numFmtId="164" formatCode="_(* #,##0_);_(* \(#,##0\);_(* &quot;-&quot;???_);_(@_)"/>
    <numFmt numFmtId="165" formatCode="_(* #,##0.00_);_(* \(#,##0.00\);_(* &quot;-&quot;???_);_(@_)"/>
    <numFmt numFmtId="166" formatCode="_(* #,##0.000_);_(* \(#,##0.000\);_(* &quot;-&quot;??_);_(@_)"/>
    <numFmt numFmtId="167" formatCode="_(* #,##0_);_(* \(#,##0\);_(* &quot;-&quot;??_);_(@_)"/>
    <numFmt numFmtId="168" formatCode="#,##0.000"/>
    <numFmt numFmtId="169" formatCode="0.0"/>
    <numFmt numFmtId="170" formatCode="0.000"/>
    <numFmt numFmtId="171" formatCode="_(* #,##0.0000_);_(* \(#,##0.0000\);_(* &quot;-&quot;??_);_(@_)"/>
    <numFmt numFmtId="172" formatCode="_(* #,##0.00_);_(* \(#,##0.00\);_(* &quot;-&quot;??_);_(@_)"/>
    <numFmt numFmtId="173" formatCode="###\ ###\ ###"/>
    <numFmt numFmtId="174" formatCode="###\ ###\ ###\ ###"/>
    <numFmt numFmtId="176" formatCode="_-* #,##0\ _₫_-;\-* #,##0\ _₫_-;_-* &quot;-&quot;??\ _₫_-;_-@_-"/>
  </numFmts>
  <fonts count="47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2"/>
      <name val=".VnTime"/>
      <family val="2"/>
    </font>
    <font>
      <b/>
      <sz val="14"/>
      <name val="Times New Roman"/>
      <family val="1"/>
      <charset val="163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163"/>
    </font>
    <font>
      <b/>
      <sz val="11"/>
      <name val="Times New Roman"/>
      <family val="1"/>
      <charset val="163"/>
      <scheme val="major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  <charset val="163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3"/>
      <name val="Times New Roman"/>
      <family val="1"/>
      <scheme val="major"/>
    </font>
    <font>
      <sz val="14"/>
      <name val=".VnTime"/>
      <family val="2"/>
    </font>
    <font>
      <b/>
      <sz val="13"/>
      <name val="Times New Roman"/>
      <family val="1"/>
    </font>
    <font>
      <b/>
      <sz val="20"/>
      <name val=".VnTimeH"/>
      <family val="2"/>
    </font>
    <font>
      <b/>
      <sz val="16"/>
      <name val="Times New Roman"/>
      <family val="1"/>
    </font>
    <font>
      <b/>
      <sz val="16"/>
      <name val=".VnTimeH"/>
      <family val="2"/>
    </font>
    <font>
      <sz val="16"/>
      <name val=".VnTime"/>
      <family val="2"/>
    </font>
    <font>
      <sz val="11"/>
      <color theme="1"/>
      <name val="Calibri"/>
      <family val="2"/>
    </font>
    <font>
      <b/>
      <sz val="10"/>
      <color indexed="8"/>
      <name val="Times New Roman"/>
      <family val="1"/>
    </font>
    <font>
      <b/>
      <sz val="14"/>
      <name val="Times New Roman"/>
      <family val="1"/>
    </font>
    <font>
      <b/>
      <sz val="8"/>
      <color indexed="8"/>
      <name val="Times New Roman"/>
      <family val="1"/>
    </font>
    <font>
      <sz val="6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  <scheme val="major"/>
    </font>
    <font>
      <b/>
      <sz val="8"/>
      <name val="Times New Roman"/>
      <family val="1"/>
      <charset val="163"/>
      <scheme val="major"/>
    </font>
    <font>
      <sz val="6"/>
      <name val="Times New Roman"/>
      <family val="1"/>
      <charset val="163"/>
    </font>
    <font>
      <b/>
      <sz val="6"/>
      <name val="Times New Roman"/>
      <family val="1"/>
      <charset val="163"/>
    </font>
    <font>
      <b/>
      <sz val="6"/>
      <name val=".VnTime"/>
      <family val="2"/>
      <charset val="163"/>
    </font>
    <font>
      <b/>
      <sz val="8"/>
      <name val=".VnTime"/>
      <family val="2"/>
      <charset val="163"/>
    </font>
    <font>
      <b/>
      <sz val="10"/>
      <name val="Times New Roman"/>
      <family val="1"/>
      <charset val="163"/>
      <scheme val="major"/>
    </font>
    <font>
      <b/>
      <i/>
      <sz val="14"/>
      <name val="Times New Roman"/>
      <family val="1"/>
      <scheme val="major"/>
    </font>
    <font>
      <i/>
      <sz val="14"/>
      <name val=".VnTime"/>
      <family val="2"/>
    </font>
    <font>
      <b/>
      <sz val="14"/>
      <name val=".VnTime"/>
      <family val="2"/>
    </font>
    <font>
      <b/>
      <sz val="10"/>
      <name val=".VnTime"/>
      <family val="2"/>
    </font>
    <font>
      <i/>
      <sz val="12"/>
      <name val=".VnTime"/>
      <family val="2"/>
    </font>
    <font>
      <b/>
      <sz val="14"/>
      <name val=".VnTimeH"/>
      <family val="2"/>
    </font>
    <font>
      <sz val="14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6" fillId="0" borderId="0"/>
  </cellStyleXfs>
  <cellXfs count="177">
    <xf numFmtId="0" fontId="0" fillId="0" borderId="0" xfId="0"/>
    <xf numFmtId="0" fontId="3" fillId="0" borderId="0" xfId="2" applyFont="1" applyFill="1" applyAlignment="1">
      <alignment horizontal="left"/>
    </xf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3" fillId="0" borderId="0" xfId="2" applyFont="1" applyFill="1" applyAlignment="1">
      <alignment vertical="center"/>
    </xf>
    <xf numFmtId="164" fontId="3" fillId="0" borderId="0" xfId="2" applyNumberFormat="1" applyFont="1" applyFill="1" applyBorder="1"/>
    <xf numFmtId="0" fontId="3" fillId="0" borderId="0" xfId="2" applyFont="1" applyFill="1" applyBorder="1"/>
    <xf numFmtId="2" fontId="3" fillId="0" borderId="0" xfId="2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2" fontId="5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4" fillId="0" borderId="1" xfId="2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4" fillId="0" borderId="0" xfId="2" applyFont="1" applyFill="1" applyBorder="1"/>
    <xf numFmtId="0" fontId="4" fillId="0" borderId="2" xfId="2" applyFont="1" applyFill="1" applyBorder="1"/>
    <xf numFmtId="0" fontId="7" fillId="0" borderId="0" xfId="0" applyFont="1" applyFill="1"/>
    <xf numFmtId="0" fontId="4" fillId="0" borderId="0" xfId="0" applyFont="1" applyFill="1"/>
    <xf numFmtId="170" fontId="12" fillId="0" borderId="0" xfId="2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167" fontId="13" fillId="0" borderId="0" xfId="0" applyNumberFormat="1" applyFont="1" applyFill="1" applyBorder="1"/>
    <xf numFmtId="2" fontId="13" fillId="0" borderId="0" xfId="2" applyNumberFormat="1" applyFont="1" applyFill="1" applyBorder="1" applyAlignment="1">
      <alignment horizontal="center" vertical="center"/>
    </xf>
    <xf numFmtId="166" fontId="13" fillId="0" borderId="0" xfId="2" applyNumberFormat="1" applyFont="1" applyFill="1" applyBorder="1" applyAlignment="1">
      <alignment horizontal="center" vertical="center"/>
    </xf>
    <xf numFmtId="3" fontId="13" fillId="0" borderId="0" xfId="2" applyNumberFormat="1" applyFont="1" applyFill="1" applyBorder="1" applyAlignment="1">
      <alignment horizontal="center"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center" vertical="center"/>
    </xf>
    <xf numFmtId="164" fontId="14" fillId="0" borderId="0" xfId="2" applyNumberFormat="1" applyFont="1" applyFill="1" applyBorder="1" applyAlignment="1">
      <alignment vertical="center"/>
    </xf>
    <xf numFmtId="170" fontId="14" fillId="0" borderId="0" xfId="2" applyNumberFormat="1" applyFont="1" applyFill="1" applyBorder="1" applyAlignment="1">
      <alignment vertical="center"/>
    </xf>
    <xf numFmtId="170" fontId="14" fillId="0" borderId="0" xfId="2" applyNumberFormat="1" applyFont="1" applyFill="1" applyAlignment="1">
      <alignment vertical="center"/>
    </xf>
    <xf numFmtId="170" fontId="15" fillId="0" borderId="0" xfId="2" applyNumberFormat="1" applyFont="1" applyFill="1" applyBorder="1" applyAlignment="1">
      <alignment horizontal="center" vertical="center"/>
    </xf>
    <xf numFmtId="0" fontId="13" fillId="0" borderId="0" xfId="0" applyFont="1" applyFill="1"/>
    <xf numFmtId="3" fontId="13" fillId="0" borderId="0" xfId="0" applyNumberFormat="1" applyFont="1" applyFill="1"/>
    <xf numFmtId="171" fontId="13" fillId="0" borderId="0" xfId="1" applyNumberFormat="1" applyFont="1" applyFill="1" applyAlignment="1">
      <alignment horizontal="right"/>
    </xf>
    <xf numFmtId="0" fontId="16" fillId="0" borderId="0" xfId="0" applyFont="1" applyFill="1"/>
    <xf numFmtId="0" fontId="13" fillId="0" borderId="0" xfId="0" applyFont="1" applyFill="1" applyAlignment="1">
      <alignment horizontal="center"/>
    </xf>
    <xf numFmtId="170" fontId="13" fillId="0" borderId="0" xfId="2" applyNumberFormat="1" applyFont="1" applyFill="1" applyAlignment="1">
      <alignment vertical="center"/>
    </xf>
    <xf numFmtId="171" fontId="13" fillId="0" borderId="0" xfId="1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164" fontId="16" fillId="0" borderId="0" xfId="0" applyNumberFormat="1" applyFont="1" applyFill="1"/>
    <xf numFmtId="0" fontId="9" fillId="0" borderId="0" xfId="0" applyFont="1" applyFill="1"/>
    <xf numFmtId="171" fontId="16" fillId="0" borderId="0" xfId="1" applyNumberFormat="1" applyFont="1" applyFill="1" applyAlignment="1">
      <alignment horizontal="center"/>
    </xf>
    <xf numFmtId="3" fontId="9" fillId="0" borderId="0" xfId="0" applyNumberFormat="1" applyFont="1" applyFill="1"/>
    <xf numFmtId="3" fontId="14" fillId="0" borderId="0" xfId="0" applyNumberFormat="1" applyFont="1" applyFill="1"/>
    <xf numFmtId="0" fontId="16" fillId="0" borderId="0" xfId="2" applyFont="1" applyFill="1" applyBorder="1"/>
    <xf numFmtId="172" fontId="16" fillId="0" borderId="0" xfId="2" applyNumberFormat="1" applyFont="1" applyFill="1" applyBorder="1" applyAlignment="1">
      <alignment horizontal="center" vertical="center"/>
    </xf>
    <xf numFmtId="166" fontId="16" fillId="0" borderId="0" xfId="2" applyNumberFormat="1" applyFont="1" applyFill="1" applyBorder="1" applyAlignment="1">
      <alignment horizontal="center" vertical="center"/>
    </xf>
    <xf numFmtId="167" fontId="16" fillId="0" borderId="0" xfId="2" applyNumberFormat="1" applyFont="1" applyFill="1" applyBorder="1" applyAlignment="1">
      <alignment horizontal="center" vertical="center"/>
    </xf>
    <xf numFmtId="166" fontId="9" fillId="0" borderId="0" xfId="2" applyNumberFormat="1" applyFont="1" applyFill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7" fontId="16" fillId="0" borderId="0" xfId="2" applyNumberFormat="1" applyFont="1" applyFill="1" applyBorder="1" applyAlignment="1">
      <alignment vertical="center"/>
    </xf>
    <xf numFmtId="3" fontId="6" fillId="0" borderId="0" xfId="0" applyNumberFormat="1" applyFont="1" applyFill="1"/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6" fillId="2" borderId="1" xfId="0" applyFont="1" applyFill="1" applyBorder="1"/>
    <xf numFmtId="170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169" fontId="10" fillId="2" borderId="1" xfId="0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right"/>
    </xf>
    <xf numFmtId="0" fontId="17" fillId="2" borderId="0" xfId="0" applyFont="1" applyFill="1"/>
    <xf numFmtId="0" fontId="16" fillId="2" borderId="1" xfId="0" applyFont="1" applyFill="1" applyBorder="1" applyAlignment="1">
      <alignment horizontal="center"/>
    </xf>
    <xf numFmtId="170" fontId="11" fillId="2" borderId="1" xfId="0" applyNumberFormat="1" applyFont="1" applyFill="1" applyBorder="1" applyAlignment="1">
      <alignment horizontal="center"/>
    </xf>
    <xf numFmtId="38" fontId="11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/>
    </xf>
    <xf numFmtId="2" fontId="11" fillId="2" borderId="1" xfId="0" applyNumberFormat="1" applyFont="1" applyFill="1" applyBorder="1" applyAlignment="1">
      <alignment horizontal="center"/>
    </xf>
    <xf numFmtId="0" fontId="10" fillId="2" borderId="0" xfId="0" applyFont="1" applyFill="1"/>
    <xf numFmtId="170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/>
    <xf numFmtId="43" fontId="16" fillId="2" borderId="1" xfId="1" applyFont="1" applyFill="1" applyBorder="1" applyAlignment="1"/>
    <xf numFmtId="0" fontId="17" fillId="2" borderId="1" xfId="0" applyFont="1" applyFill="1" applyBorder="1" applyAlignment="1">
      <alignment horizontal="center"/>
    </xf>
    <xf numFmtId="168" fontId="6" fillId="0" borderId="1" xfId="2" applyNumberFormat="1" applyFont="1" applyFill="1" applyBorder="1" applyAlignment="1">
      <alignment horizontal="right"/>
    </xf>
    <xf numFmtId="3" fontId="17" fillId="2" borderId="1" xfId="0" applyNumberFormat="1" applyFont="1" applyFill="1" applyBorder="1"/>
    <xf numFmtId="3" fontId="17" fillId="2" borderId="1" xfId="0" applyNumberFormat="1" applyFont="1" applyFill="1" applyBorder="1" applyAlignment="1">
      <alignment wrapText="1"/>
    </xf>
    <xf numFmtId="3" fontId="18" fillId="2" borderId="1" xfId="0" applyNumberFormat="1" applyFont="1" applyFill="1" applyBorder="1"/>
    <xf numFmtId="0" fontId="18" fillId="2" borderId="1" xfId="0" applyFont="1" applyFill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7" fillId="3" borderId="5" xfId="3" applyFont="1" applyFill="1" applyBorder="1" applyAlignment="1">
      <alignment horizontal="center" vertical="center" wrapText="1"/>
    </xf>
    <xf numFmtId="0" fontId="27" fillId="3" borderId="6" xfId="3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9" fillId="3" borderId="9" xfId="3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173" fontId="34" fillId="0" borderId="1" xfId="0" applyNumberFormat="1" applyFont="1" applyBorder="1" applyAlignment="1">
      <alignment horizontal="right" vertical="center"/>
    </xf>
    <xf numFmtId="167" fontId="35" fillId="0" borderId="1" xfId="0" applyNumberFormat="1" applyFont="1" applyBorder="1" applyAlignment="1">
      <alignment horizontal="right" vertical="center"/>
    </xf>
    <xf numFmtId="167" fontId="34" fillId="0" borderId="1" xfId="0" applyNumberFormat="1" applyFont="1" applyBorder="1" applyAlignment="1">
      <alignment horizontal="right" vertical="center"/>
    </xf>
    <xf numFmtId="167" fontId="34" fillId="2" borderId="1" xfId="0" applyNumberFormat="1" applyFont="1" applyFill="1" applyBorder="1" applyAlignment="1">
      <alignment horizontal="right" vertical="center"/>
    </xf>
    <xf numFmtId="167" fontId="36" fillId="0" borderId="1" xfId="0" applyNumberFormat="1" applyFont="1" applyBorder="1" applyAlignment="1">
      <alignment vertical="center"/>
    </xf>
    <xf numFmtId="167" fontId="20" fillId="0" borderId="0" xfId="0" applyNumberFormat="1" applyFont="1"/>
    <xf numFmtId="1" fontId="20" fillId="0" borderId="0" xfId="0" applyNumberFormat="1" applyFont="1"/>
    <xf numFmtId="0" fontId="37" fillId="0" borderId="1" xfId="0" applyFont="1" applyBorder="1" applyAlignment="1">
      <alignment vertical="center"/>
    </xf>
    <xf numFmtId="0" fontId="38" fillId="0" borderId="1" xfId="0" applyFont="1" applyBorder="1" applyAlignment="1">
      <alignment vertical="center"/>
    </xf>
    <xf numFmtId="173" fontId="35" fillId="0" borderId="1" xfId="0" applyNumberFormat="1" applyFont="1" applyBorder="1" applyAlignment="1">
      <alignment vertical="center"/>
    </xf>
    <xf numFmtId="167" fontId="35" fillId="0" borderId="1" xfId="0" applyNumberFormat="1" applyFont="1" applyBorder="1" applyAlignment="1">
      <alignment vertical="center"/>
    </xf>
    <xf numFmtId="174" fontId="20" fillId="0" borderId="0" xfId="0" applyNumberFormat="1" applyFont="1"/>
    <xf numFmtId="0" fontId="39" fillId="0" borderId="0" xfId="0" applyFont="1" applyAlignment="1">
      <alignment vertical="center"/>
    </xf>
    <xf numFmtId="167" fontId="39" fillId="0" borderId="0" xfId="0" applyNumberFormat="1" applyFont="1" applyAlignment="1">
      <alignment vertical="center"/>
    </xf>
    <xf numFmtId="173" fontId="39" fillId="0" borderId="0" xfId="0" applyNumberFormat="1" applyFont="1" applyAlignment="1">
      <alignment vertical="center"/>
    </xf>
    <xf numFmtId="0" fontId="40" fillId="0" borderId="0" xfId="0" applyFont="1"/>
    <xf numFmtId="173" fontId="40" fillId="0" borderId="0" xfId="0" applyNumberFormat="1" applyFont="1"/>
    <xf numFmtId="0" fontId="41" fillId="0" borderId="0" xfId="0" applyFont="1"/>
    <xf numFmtId="0" fontId="41" fillId="0" borderId="0" xfId="0" applyFont="1" applyAlignment="1">
      <alignment horizontal="center"/>
    </xf>
    <xf numFmtId="0" fontId="42" fillId="0" borderId="0" xfId="0" applyFont="1"/>
    <xf numFmtId="173" fontId="41" fillId="0" borderId="0" xfId="0" applyNumberFormat="1" applyFont="1"/>
    <xf numFmtId="0" fontId="43" fillId="0" borderId="0" xfId="0" applyFont="1" applyAlignment="1">
      <alignment horizontal="center"/>
    </xf>
    <xf numFmtId="0" fontId="43" fillId="0" borderId="0" xfId="0" applyFont="1"/>
    <xf numFmtId="0" fontId="44" fillId="0" borderId="0" xfId="0" applyFont="1" applyAlignment="1">
      <alignment horizontal="center"/>
    </xf>
    <xf numFmtId="0" fontId="28" fillId="0" borderId="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/>
    </xf>
    <xf numFmtId="167" fontId="3" fillId="0" borderId="1" xfId="0" applyNumberFormat="1" applyFont="1" applyBorder="1" applyAlignment="1">
      <alignment vertical="center"/>
    </xf>
    <xf numFmtId="0" fontId="32" fillId="4" borderId="1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vertical="center"/>
    </xf>
    <xf numFmtId="173" fontId="34" fillId="4" borderId="1" xfId="0" applyNumberFormat="1" applyFont="1" applyFill="1" applyBorder="1" applyAlignment="1">
      <alignment horizontal="right" vertical="center"/>
    </xf>
    <xf numFmtId="167" fontId="35" fillId="4" borderId="1" xfId="0" applyNumberFormat="1" applyFont="1" applyFill="1" applyBorder="1" applyAlignment="1">
      <alignment horizontal="right" vertical="center"/>
    </xf>
    <xf numFmtId="167" fontId="34" fillId="4" borderId="1" xfId="0" applyNumberFormat="1" applyFont="1" applyFill="1" applyBorder="1" applyAlignment="1">
      <alignment horizontal="right" vertical="center"/>
    </xf>
    <xf numFmtId="167" fontId="3" fillId="4" borderId="1" xfId="0" applyNumberFormat="1" applyFont="1" applyFill="1" applyBorder="1" applyAlignment="1">
      <alignment horizontal="right" vertical="center"/>
    </xf>
    <xf numFmtId="167" fontId="36" fillId="4" borderId="1" xfId="0" applyNumberFormat="1" applyFont="1" applyFill="1" applyBorder="1" applyAlignment="1">
      <alignment vertical="center"/>
    </xf>
    <xf numFmtId="167" fontId="20" fillId="4" borderId="0" xfId="0" applyNumberFormat="1" applyFont="1" applyFill="1"/>
    <xf numFmtId="1" fontId="20" fillId="4" borderId="0" xfId="0" applyNumberFormat="1" applyFont="1" applyFill="1"/>
    <xf numFmtId="0" fontId="20" fillId="4" borderId="0" xfId="0" applyFont="1" applyFill="1"/>
    <xf numFmtId="176" fontId="9" fillId="0" borderId="1" xfId="1" applyNumberFormat="1" applyFont="1" applyFill="1" applyBorder="1"/>
    <xf numFmtId="176" fontId="10" fillId="0" borderId="1" xfId="1" applyNumberFormat="1" applyFont="1" applyFill="1" applyBorder="1"/>
    <xf numFmtId="176" fontId="11" fillId="0" borderId="1" xfId="1" applyNumberFormat="1" applyFont="1" applyFill="1" applyBorder="1"/>
    <xf numFmtId="176" fontId="11" fillId="2" borderId="1" xfId="1" applyNumberFormat="1" applyFont="1" applyFill="1" applyBorder="1" applyAlignment="1">
      <alignment horizontal="center"/>
    </xf>
    <xf numFmtId="176" fontId="17" fillId="2" borderId="1" xfId="1" applyNumberFormat="1" applyFont="1" applyFill="1" applyBorder="1"/>
    <xf numFmtId="176" fontId="11" fillId="2" borderId="1" xfId="1" applyNumberFormat="1" applyFont="1" applyFill="1" applyBorder="1" applyAlignment="1">
      <alignment horizontal="right"/>
    </xf>
    <xf numFmtId="176" fontId="46" fillId="0" borderId="1" xfId="1" applyNumberFormat="1" applyFont="1" applyBorder="1"/>
    <xf numFmtId="176" fontId="9" fillId="2" borderId="1" xfId="1" applyNumberFormat="1" applyFont="1" applyFill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 wrapText="1"/>
    </xf>
    <xf numFmtId="176" fontId="9" fillId="2" borderId="1" xfId="1" applyNumberFormat="1" applyFont="1" applyFill="1" applyBorder="1" applyAlignment="1">
      <alignment wrapText="1"/>
    </xf>
    <xf numFmtId="176" fontId="10" fillId="2" borderId="1" xfId="1" applyNumberFormat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right"/>
    </xf>
    <xf numFmtId="176" fontId="7" fillId="0" borderId="1" xfId="1" applyNumberFormat="1" applyFont="1" applyFill="1" applyBorder="1" applyAlignment="1">
      <alignment horizontal="center"/>
    </xf>
    <xf numFmtId="176" fontId="7" fillId="0" borderId="1" xfId="1" applyNumberFormat="1" applyFont="1" applyFill="1" applyBorder="1" applyAlignment="1">
      <alignment horizontal="center" vertical="center"/>
    </xf>
    <xf numFmtId="176" fontId="10" fillId="2" borderId="0" xfId="0" applyNumberFormat="1" applyFont="1" applyFill="1"/>
    <xf numFmtId="0" fontId="17" fillId="4" borderId="1" xfId="0" applyFont="1" applyFill="1" applyBorder="1" applyAlignment="1">
      <alignment horizontal="center"/>
    </xf>
    <xf numFmtId="0" fontId="16" fillId="4" borderId="1" xfId="0" applyFont="1" applyFill="1" applyBorder="1"/>
    <xf numFmtId="170" fontId="10" fillId="4" borderId="1" xfId="0" applyNumberFormat="1" applyFont="1" applyFill="1" applyBorder="1" applyAlignment="1">
      <alignment horizontal="center"/>
    </xf>
    <xf numFmtId="2" fontId="10" fillId="4" borderId="1" xfId="0" applyNumberFormat="1" applyFont="1" applyFill="1" applyBorder="1" applyAlignment="1">
      <alignment horizontal="center"/>
    </xf>
    <xf numFmtId="168" fontId="6" fillId="4" borderId="1" xfId="2" applyNumberFormat="1" applyFont="1" applyFill="1" applyBorder="1" applyAlignment="1">
      <alignment horizontal="right"/>
    </xf>
    <xf numFmtId="176" fontId="6" fillId="4" borderId="1" xfId="1" applyNumberFormat="1" applyFont="1" applyFill="1" applyBorder="1" applyAlignment="1">
      <alignment horizontal="right"/>
    </xf>
    <xf numFmtId="176" fontId="7" fillId="4" borderId="1" xfId="1" applyNumberFormat="1" applyFont="1" applyFill="1" applyBorder="1" applyAlignment="1">
      <alignment horizontal="center"/>
    </xf>
    <xf numFmtId="176" fontId="7" fillId="4" borderId="1" xfId="1" applyNumberFormat="1" applyFont="1" applyFill="1" applyBorder="1" applyAlignment="1">
      <alignment horizontal="center" vertical="center"/>
    </xf>
    <xf numFmtId="176" fontId="9" fillId="4" borderId="1" xfId="1" applyNumberFormat="1" applyFont="1" applyFill="1" applyBorder="1"/>
    <xf numFmtId="176" fontId="10" fillId="4" borderId="1" xfId="1" applyNumberFormat="1" applyFont="1" applyFill="1" applyBorder="1"/>
    <xf numFmtId="176" fontId="11" fillId="4" borderId="1" xfId="1" applyNumberFormat="1" applyFont="1" applyFill="1" applyBorder="1"/>
    <xf numFmtId="3" fontId="17" fillId="4" borderId="1" xfId="0" applyNumberFormat="1" applyFont="1" applyFill="1" applyBorder="1"/>
    <xf numFmtId="0" fontId="10" fillId="4" borderId="0" xfId="0" applyFont="1" applyFill="1"/>
    <xf numFmtId="0" fontId="45" fillId="4" borderId="0" xfId="0" applyFont="1" applyFill="1"/>
  </cellXfs>
  <cellStyles count="4">
    <cellStyle name="Comma" xfId="1" builtinId="3"/>
    <cellStyle name="Normal" xfId="0" builtinId="0"/>
    <cellStyle name="Normal 2 8" xfId="3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1</xdr:col>
      <xdr:colOff>1695450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6725" y="476250"/>
          <a:ext cx="1362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323850</xdr:colOff>
      <xdr:row>1</xdr:row>
      <xdr:rowOff>285750</xdr:rowOff>
    </xdr:from>
    <xdr:to>
      <xdr:col>2</xdr:col>
      <xdr:colOff>266700</xdr:colOff>
      <xdr:row>1</xdr:row>
      <xdr:rowOff>285750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628650" y="476250"/>
          <a:ext cx="1466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323850</xdr:colOff>
      <xdr:row>1</xdr:row>
      <xdr:rowOff>285750</xdr:rowOff>
    </xdr:from>
    <xdr:to>
      <xdr:col>2</xdr:col>
      <xdr:colOff>266700</xdr:colOff>
      <xdr:row>1</xdr:row>
      <xdr:rowOff>285750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 flipV="1">
          <a:off x="628650" y="476250"/>
          <a:ext cx="1466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wnloads/QT%20BHYT%20x&#227;%20qu&#253;%204%20%20n&#259;m%2020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T xã _2020_ Tổng hợp"/>
      <sheetName val="TYT xã _2020)"/>
      <sheetName val="TYT xã _2020_Quý IV (4)"/>
      <sheetName val="TYT xã _2020_Quý III (3)"/>
      <sheetName val="TYT xã _2020_Quý II (2)"/>
      <sheetName val="TYT xã _2020_Quý I"/>
      <sheetName val="Thưởng 30.4"/>
      <sheetName val="Thưởng 02.9"/>
      <sheetName val="Q3.2020"/>
      <sheetName val="Q2.2020"/>
      <sheetName val="Q1.2020"/>
      <sheetName val="Q4.2019"/>
      <sheetName val="QT2019 BHYT (2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7"/>
  <sheetViews>
    <sheetView tabSelected="1" workbookViewId="0">
      <pane xSplit="2" ySplit="8" topLeftCell="C24" activePane="bottomRight" state="frozen"/>
      <selection pane="topRight" activeCell="C1" sqref="C1"/>
      <selection pane="bottomLeft" activeCell="A9" sqref="A9"/>
      <selection pane="bottomRight" activeCell="P31" sqref="P31"/>
    </sheetView>
  </sheetViews>
  <sheetFormatPr defaultRowHeight="15"/>
  <cols>
    <col min="1" max="1" width="4" style="21" customWidth="1"/>
    <col min="2" max="2" width="20" style="12" customWidth="1"/>
    <col min="3" max="4" width="8.875" style="12" customWidth="1"/>
    <col min="5" max="5" width="8.5" style="12" customWidth="1"/>
    <col min="6" max="6" width="7.875" style="12" customWidth="1"/>
    <col min="7" max="7" width="12.5" style="12" customWidth="1"/>
    <col min="8" max="8" width="9" style="12" customWidth="1"/>
    <col min="9" max="9" width="10.75" style="11" bestFit="1" customWidth="1"/>
    <col min="10" max="11" width="10.75" style="11" customWidth="1"/>
    <col min="12" max="12" width="12.5" style="12" customWidth="1"/>
    <col min="13" max="13" width="11.75" style="12" customWidth="1"/>
    <col min="14" max="14" width="12.25" style="12" customWidth="1"/>
    <col min="15" max="15" width="12" style="12" customWidth="1"/>
    <col min="16" max="256" width="9" style="12"/>
    <col min="257" max="257" width="4" style="12" customWidth="1"/>
    <col min="258" max="258" width="23" style="12" customWidth="1"/>
    <col min="259" max="259" width="20.25" style="12" customWidth="1"/>
    <col min="260" max="260" width="19.5" style="12" customWidth="1"/>
    <col min="261" max="261" width="15.75" style="12" customWidth="1"/>
    <col min="262" max="262" width="0" style="12" hidden="1" customWidth="1"/>
    <col min="263" max="263" width="18.5" style="12" customWidth="1"/>
    <col min="264" max="264" width="22.75" style="12" customWidth="1"/>
    <col min="265" max="265" width="10.75" style="12" bestFit="1" customWidth="1"/>
    <col min="266" max="266" width="13.5" style="12" customWidth="1"/>
    <col min="267" max="512" width="9" style="12"/>
    <col min="513" max="513" width="4" style="12" customWidth="1"/>
    <col min="514" max="514" width="23" style="12" customWidth="1"/>
    <col min="515" max="515" width="20.25" style="12" customWidth="1"/>
    <col min="516" max="516" width="19.5" style="12" customWidth="1"/>
    <col min="517" max="517" width="15.75" style="12" customWidth="1"/>
    <col min="518" max="518" width="0" style="12" hidden="1" customWidth="1"/>
    <col min="519" max="519" width="18.5" style="12" customWidth="1"/>
    <col min="520" max="520" width="22.75" style="12" customWidth="1"/>
    <col min="521" max="521" width="10.75" style="12" bestFit="1" customWidth="1"/>
    <col min="522" max="522" width="13.5" style="12" customWidth="1"/>
    <col min="523" max="768" width="9" style="12"/>
    <col min="769" max="769" width="4" style="12" customWidth="1"/>
    <col min="770" max="770" width="23" style="12" customWidth="1"/>
    <col min="771" max="771" width="20.25" style="12" customWidth="1"/>
    <col min="772" max="772" width="19.5" style="12" customWidth="1"/>
    <col min="773" max="773" width="15.75" style="12" customWidth="1"/>
    <col min="774" max="774" width="0" style="12" hidden="1" customWidth="1"/>
    <col min="775" max="775" width="18.5" style="12" customWidth="1"/>
    <col min="776" max="776" width="22.75" style="12" customWidth="1"/>
    <col min="777" max="777" width="10.75" style="12" bestFit="1" customWidth="1"/>
    <col min="778" max="778" width="13.5" style="12" customWidth="1"/>
    <col min="779" max="1024" width="9" style="12"/>
    <col min="1025" max="1025" width="4" style="12" customWidth="1"/>
    <col min="1026" max="1026" width="23" style="12" customWidth="1"/>
    <col min="1027" max="1027" width="20.25" style="12" customWidth="1"/>
    <col min="1028" max="1028" width="19.5" style="12" customWidth="1"/>
    <col min="1029" max="1029" width="15.75" style="12" customWidth="1"/>
    <col min="1030" max="1030" width="0" style="12" hidden="1" customWidth="1"/>
    <col min="1031" max="1031" width="18.5" style="12" customWidth="1"/>
    <col min="1032" max="1032" width="22.75" style="12" customWidth="1"/>
    <col min="1033" max="1033" width="10.75" style="12" bestFit="1" customWidth="1"/>
    <col min="1034" max="1034" width="13.5" style="12" customWidth="1"/>
    <col min="1035" max="1280" width="9" style="12"/>
    <col min="1281" max="1281" width="4" style="12" customWidth="1"/>
    <col min="1282" max="1282" width="23" style="12" customWidth="1"/>
    <col min="1283" max="1283" width="20.25" style="12" customWidth="1"/>
    <col min="1284" max="1284" width="19.5" style="12" customWidth="1"/>
    <col min="1285" max="1285" width="15.75" style="12" customWidth="1"/>
    <col min="1286" max="1286" width="0" style="12" hidden="1" customWidth="1"/>
    <col min="1287" max="1287" width="18.5" style="12" customWidth="1"/>
    <col min="1288" max="1288" width="22.75" style="12" customWidth="1"/>
    <col min="1289" max="1289" width="10.75" style="12" bestFit="1" customWidth="1"/>
    <col min="1290" max="1290" width="13.5" style="12" customWidth="1"/>
    <col min="1291" max="1536" width="9" style="12"/>
    <col min="1537" max="1537" width="4" style="12" customWidth="1"/>
    <col min="1538" max="1538" width="23" style="12" customWidth="1"/>
    <col min="1539" max="1539" width="20.25" style="12" customWidth="1"/>
    <col min="1540" max="1540" width="19.5" style="12" customWidth="1"/>
    <col min="1541" max="1541" width="15.75" style="12" customWidth="1"/>
    <col min="1542" max="1542" width="0" style="12" hidden="1" customWidth="1"/>
    <col min="1543" max="1543" width="18.5" style="12" customWidth="1"/>
    <col min="1544" max="1544" width="22.75" style="12" customWidth="1"/>
    <col min="1545" max="1545" width="10.75" style="12" bestFit="1" customWidth="1"/>
    <col min="1546" max="1546" width="13.5" style="12" customWidth="1"/>
    <col min="1547" max="1792" width="9" style="12"/>
    <col min="1793" max="1793" width="4" style="12" customWidth="1"/>
    <col min="1794" max="1794" width="23" style="12" customWidth="1"/>
    <col min="1795" max="1795" width="20.25" style="12" customWidth="1"/>
    <col min="1796" max="1796" width="19.5" style="12" customWidth="1"/>
    <col min="1797" max="1797" width="15.75" style="12" customWidth="1"/>
    <col min="1798" max="1798" width="0" style="12" hidden="1" customWidth="1"/>
    <col min="1799" max="1799" width="18.5" style="12" customWidth="1"/>
    <col min="1800" max="1800" width="22.75" style="12" customWidth="1"/>
    <col min="1801" max="1801" width="10.75" style="12" bestFit="1" customWidth="1"/>
    <col min="1802" max="1802" width="13.5" style="12" customWidth="1"/>
    <col min="1803" max="2048" width="9" style="12"/>
    <col min="2049" max="2049" width="4" style="12" customWidth="1"/>
    <col min="2050" max="2050" width="23" style="12" customWidth="1"/>
    <col min="2051" max="2051" width="20.25" style="12" customWidth="1"/>
    <col min="2052" max="2052" width="19.5" style="12" customWidth="1"/>
    <col min="2053" max="2053" width="15.75" style="12" customWidth="1"/>
    <col min="2054" max="2054" width="0" style="12" hidden="1" customWidth="1"/>
    <col min="2055" max="2055" width="18.5" style="12" customWidth="1"/>
    <col min="2056" max="2056" width="22.75" style="12" customWidth="1"/>
    <col min="2057" max="2057" width="10.75" style="12" bestFit="1" customWidth="1"/>
    <col min="2058" max="2058" width="13.5" style="12" customWidth="1"/>
    <col min="2059" max="2304" width="9" style="12"/>
    <col min="2305" max="2305" width="4" style="12" customWidth="1"/>
    <col min="2306" max="2306" width="23" style="12" customWidth="1"/>
    <col min="2307" max="2307" width="20.25" style="12" customWidth="1"/>
    <col min="2308" max="2308" width="19.5" style="12" customWidth="1"/>
    <col min="2309" max="2309" width="15.75" style="12" customWidth="1"/>
    <col min="2310" max="2310" width="0" style="12" hidden="1" customWidth="1"/>
    <col min="2311" max="2311" width="18.5" style="12" customWidth="1"/>
    <col min="2312" max="2312" width="22.75" style="12" customWidth="1"/>
    <col min="2313" max="2313" width="10.75" style="12" bestFit="1" customWidth="1"/>
    <col min="2314" max="2314" width="13.5" style="12" customWidth="1"/>
    <col min="2315" max="2560" width="9" style="12"/>
    <col min="2561" max="2561" width="4" style="12" customWidth="1"/>
    <col min="2562" max="2562" width="23" style="12" customWidth="1"/>
    <col min="2563" max="2563" width="20.25" style="12" customWidth="1"/>
    <col min="2564" max="2564" width="19.5" style="12" customWidth="1"/>
    <col min="2565" max="2565" width="15.75" style="12" customWidth="1"/>
    <col min="2566" max="2566" width="0" style="12" hidden="1" customWidth="1"/>
    <col min="2567" max="2567" width="18.5" style="12" customWidth="1"/>
    <col min="2568" max="2568" width="22.75" style="12" customWidth="1"/>
    <col min="2569" max="2569" width="10.75" style="12" bestFit="1" customWidth="1"/>
    <col min="2570" max="2570" width="13.5" style="12" customWidth="1"/>
    <col min="2571" max="2816" width="9" style="12"/>
    <col min="2817" max="2817" width="4" style="12" customWidth="1"/>
    <col min="2818" max="2818" width="23" style="12" customWidth="1"/>
    <col min="2819" max="2819" width="20.25" style="12" customWidth="1"/>
    <col min="2820" max="2820" width="19.5" style="12" customWidth="1"/>
    <col min="2821" max="2821" width="15.75" style="12" customWidth="1"/>
    <col min="2822" max="2822" width="0" style="12" hidden="1" customWidth="1"/>
    <col min="2823" max="2823" width="18.5" style="12" customWidth="1"/>
    <col min="2824" max="2824" width="22.75" style="12" customWidth="1"/>
    <col min="2825" max="2825" width="10.75" style="12" bestFit="1" customWidth="1"/>
    <col min="2826" max="2826" width="13.5" style="12" customWidth="1"/>
    <col min="2827" max="3072" width="9" style="12"/>
    <col min="3073" max="3073" width="4" style="12" customWidth="1"/>
    <col min="3074" max="3074" width="23" style="12" customWidth="1"/>
    <col min="3075" max="3075" width="20.25" style="12" customWidth="1"/>
    <col min="3076" max="3076" width="19.5" style="12" customWidth="1"/>
    <col min="3077" max="3077" width="15.75" style="12" customWidth="1"/>
    <col min="3078" max="3078" width="0" style="12" hidden="1" customWidth="1"/>
    <col min="3079" max="3079" width="18.5" style="12" customWidth="1"/>
    <col min="3080" max="3080" width="22.75" style="12" customWidth="1"/>
    <col min="3081" max="3081" width="10.75" style="12" bestFit="1" customWidth="1"/>
    <col min="3082" max="3082" width="13.5" style="12" customWidth="1"/>
    <col min="3083" max="3328" width="9" style="12"/>
    <col min="3329" max="3329" width="4" style="12" customWidth="1"/>
    <col min="3330" max="3330" width="23" style="12" customWidth="1"/>
    <col min="3331" max="3331" width="20.25" style="12" customWidth="1"/>
    <col min="3332" max="3332" width="19.5" style="12" customWidth="1"/>
    <col min="3333" max="3333" width="15.75" style="12" customWidth="1"/>
    <col min="3334" max="3334" width="0" style="12" hidden="1" customWidth="1"/>
    <col min="3335" max="3335" width="18.5" style="12" customWidth="1"/>
    <col min="3336" max="3336" width="22.75" style="12" customWidth="1"/>
    <col min="3337" max="3337" width="10.75" style="12" bestFit="1" customWidth="1"/>
    <col min="3338" max="3338" width="13.5" style="12" customWidth="1"/>
    <col min="3339" max="3584" width="9" style="12"/>
    <col min="3585" max="3585" width="4" style="12" customWidth="1"/>
    <col min="3586" max="3586" width="23" style="12" customWidth="1"/>
    <col min="3587" max="3587" width="20.25" style="12" customWidth="1"/>
    <col min="3588" max="3588" width="19.5" style="12" customWidth="1"/>
    <col min="3589" max="3589" width="15.75" style="12" customWidth="1"/>
    <col min="3590" max="3590" width="0" style="12" hidden="1" customWidth="1"/>
    <col min="3591" max="3591" width="18.5" style="12" customWidth="1"/>
    <col min="3592" max="3592" width="22.75" style="12" customWidth="1"/>
    <col min="3593" max="3593" width="10.75" style="12" bestFit="1" customWidth="1"/>
    <col min="3594" max="3594" width="13.5" style="12" customWidth="1"/>
    <col min="3595" max="3840" width="9" style="12"/>
    <col min="3841" max="3841" width="4" style="12" customWidth="1"/>
    <col min="3842" max="3842" width="23" style="12" customWidth="1"/>
    <col min="3843" max="3843" width="20.25" style="12" customWidth="1"/>
    <col min="3844" max="3844" width="19.5" style="12" customWidth="1"/>
    <col min="3845" max="3845" width="15.75" style="12" customWidth="1"/>
    <col min="3846" max="3846" width="0" style="12" hidden="1" customWidth="1"/>
    <col min="3847" max="3847" width="18.5" style="12" customWidth="1"/>
    <col min="3848" max="3848" width="22.75" style="12" customWidth="1"/>
    <col min="3849" max="3849" width="10.75" style="12" bestFit="1" customWidth="1"/>
    <col min="3850" max="3850" width="13.5" style="12" customWidth="1"/>
    <col min="3851" max="4096" width="9" style="12"/>
    <col min="4097" max="4097" width="4" style="12" customWidth="1"/>
    <col min="4098" max="4098" width="23" style="12" customWidth="1"/>
    <col min="4099" max="4099" width="20.25" style="12" customWidth="1"/>
    <col min="4100" max="4100" width="19.5" style="12" customWidth="1"/>
    <col min="4101" max="4101" width="15.75" style="12" customWidth="1"/>
    <col min="4102" max="4102" width="0" style="12" hidden="1" customWidth="1"/>
    <col min="4103" max="4103" width="18.5" style="12" customWidth="1"/>
    <col min="4104" max="4104" width="22.75" style="12" customWidth="1"/>
    <col min="4105" max="4105" width="10.75" style="12" bestFit="1" customWidth="1"/>
    <col min="4106" max="4106" width="13.5" style="12" customWidth="1"/>
    <col min="4107" max="4352" width="9" style="12"/>
    <col min="4353" max="4353" width="4" style="12" customWidth="1"/>
    <col min="4354" max="4354" width="23" style="12" customWidth="1"/>
    <col min="4355" max="4355" width="20.25" style="12" customWidth="1"/>
    <col min="4356" max="4356" width="19.5" style="12" customWidth="1"/>
    <col min="4357" max="4357" width="15.75" style="12" customWidth="1"/>
    <col min="4358" max="4358" width="0" style="12" hidden="1" customWidth="1"/>
    <col min="4359" max="4359" width="18.5" style="12" customWidth="1"/>
    <col min="4360" max="4360" width="22.75" style="12" customWidth="1"/>
    <col min="4361" max="4361" width="10.75" style="12" bestFit="1" customWidth="1"/>
    <col min="4362" max="4362" width="13.5" style="12" customWidth="1"/>
    <col min="4363" max="4608" width="9" style="12"/>
    <col min="4609" max="4609" width="4" style="12" customWidth="1"/>
    <col min="4610" max="4610" width="23" style="12" customWidth="1"/>
    <col min="4611" max="4611" width="20.25" style="12" customWidth="1"/>
    <col min="4612" max="4612" width="19.5" style="12" customWidth="1"/>
    <col min="4613" max="4613" width="15.75" style="12" customWidth="1"/>
    <col min="4614" max="4614" width="0" style="12" hidden="1" customWidth="1"/>
    <col min="4615" max="4615" width="18.5" style="12" customWidth="1"/>
    <col min="4616" max="4616" width="22.75" style="12" customWidth="1"/>
    <col min="4617" max="4617" width="10.75" style="12" bestFit="1" customWidth="1"/>
    <col min="4618" max="4618" width="13.5" style="12" customWidth="1"/>
    <col min="4619" max="4864" width="9" style="12"/>
    <col min="4865" max="4865" width="4" style="12" customWidth="1"/>
    <col min="4866" max="4866" width="23" style="12" customWidth="1"/>
    <col min="4867" max="4867" width="20.25" style="12" customWidth="1"/>
    <col min="4868" max="4868" width="19.5" style="12" customWidth="1"/>
    <col min="4869" max="4869" width="15.75" style="12" customWidth="1"/>
    <col min="4870" max="4870" width="0" style="12" hidden="1" customWidth="1"/>
    <col min="4871" max="4871" width="18.5" style="12" customWidth="1"/>
    <col min="4872" max="4872" width="22.75" style="12" customWidth="1"/>
    <col min="4873" max="4873" width="10.75" style="12" bestFit="1" customWidth="1"/>
    <col min="4874" max="4874" width="13.5" style="12" customWidth="1"/>
    <col min="4875" max="5120" width="9" style="12"/>
    <col min="5121" max="5121" width="4" style="12" customWidth="1"/>
    <col min="5122" max="5122" width="23" style="12" customWidth="1"/>
    <col min="5123" max="5123" width="20.25" style="12" customWidth="1"/>
    <col min="5124" max="5124" width="19.5" style="12" customWidth="1"/>
    <col min="5125" max="5125" width="15.75" style="12" customWidth="1"/>
    <col min="5126" max="5126" width="0" style="12" hidden="1" customWidth="1"/>
    <col min="5127" max="5127" width="18.5" style="12" customWidth="1"/>
    <col min="5128" max="5128" width="22.75" style="12" customWidth="1"/>
    <col min="5129" max="5129" width="10.75" style="12" bestFit="1" customWidth="1"/>
    <col min="5130" max="5130" width="13.5" style="12" customWidth="1"/>
    <col min="5131" max="5376" width="9" style="12"/>
    <col min="5377" max="5377" width="4" style="12" customWidth="1"/>
    <col min="5378" max="5378" width="23" style="12" customWidth="1"/>
    <col min="5379" max="5379" width="20.25" style="12" customWidth="1"/>
    <col min="5380" max="5380" width="19.5" style="12" customWidth="1"/>
    <col min="5381" max="5381" width="15.75" style="12" customWidth="1"/>
    <col min="5382" max="5382" width="0" style="12" hidden="1" customWidth="1"/>
    <col min="5383" max="5383" width="18.5" style="12" customWidth="1"/>
    <col min="5384" max="5384" width="22.75" style="12" customWidth="1"/>
    <col min="5385" max="5385" width="10.75" style="12" bestFit="1" customWidth="1"/>
    <col min="5386" max="5386" width="13.5" style="12" customWidth="1"/>
    <col min="5387" max="5632" width="9" style="12"/>
    <col min="5633" max="5633" width="4" style="12" customWidth="1"/>
    <col min="5634" max="5634" width="23" style="12" customWidth="1"/>
    <col min="5635" max="5635" width="20.25" style="12" customWidth="1"/>
    <col min="5636" max="5636" width="19.5" style="12" customWidth="1"/>
    <col min="5637" max="5637" width="15.75" style="12" customWidth="1"/>
    <col min="5638" max="5638" width="0" style="12" hidden="1" customWidth="1"/>
    <col min="5639" max="5639" width="18.5" style="12" customWidth="1"/>
    <col min="5640" max="5640" width="22.75" style="12" customWidth="1"/>
    <col min="5641" max="5641" width="10.75" style="12" bestFit="1" customWidth="1"/>
    <col min="5642" max="5642" width="13.5" style="12" customWidth="1"/>
    <col min="5643" max="5888" width="9" style="12"/>
    <col min="5889" max="5889" width="4" style="12" customWidth="1"/>
    <col min="5890" max="5890" width="23" style="12" customWidth="1"/>
    <col min="5891" max="5891" width="20.25" style="12" customWidth="1"/>
    <col min="5892" max="5892" width="19.5" style="12" customWidth="1"/>
    <col min="5893" max="5893" width="15.75" style="12" customWidth="1"/>
    <col min="5894" max="5894" width="0" style="12" hidden="1" customWidth="1"/>
    <col min="5895" max="5895" width="18.5" style="12" customWidth="1"/>
    <col min="5896" max="5896" width="22.75" style="12" customWidth="1"/>
    <col min="5897" max="5897" width="10.75" style="12" bestFit="1" customWidth="1"/>
    <col min="5898" max="5898" width="13.5" style="12" customWidth="1"/>
    <col min="5899" max="6144" width="9" style="12"/>
    <col min="6145" max="6145" width="4" style="12" customWidth="1"/>
    <col min="6146" max="6146" width="23" style="12" customWidth="1"/>
    <col min="6147" max="6147" width="20.25" style="12" customWidth="1"/>
    <col min="6148" max="6148" width="19.5" style="12" customWidth="1"/>
    <col min="6149" max="6149" width="15.75" style="12" customWidth="1"/>
    <col min="6150" max="6150" width="0" style="12" hidden="1" customWidth="1"/>
    <col min="6151" max="6151" width="18.5" style="12" customWidth="1"/>
    <col min="6152" max="6152" width="22.75" style="12" customWidth="1"/>
    <col min="6153" max="6153" width="10.75" style="12" bestFit="1" customWidth="1"/>
    <col min="6154" max="6154" width="13.5" style="12" customWidth="1"/>
    <col min="6155" max="6400" width="9" style="12"/>
    <col min="6401" max="6401" width="4" style="12" customWidth="1"/>
    <col min="6402" max="6402" width="23" style="12" customWidth="1"/>
    <col min="6403" max="6403" width="20.25" style="12" customWidth="1"/>
    <col min="6404" max="6404" width="19.5" style="12" customWidth="1"/>
    <col min="6405" max="6405" width="15.75" style="12" customWidth="1"/>
    <col min="6406" max="6406" width="0" style="12" hidden="1" customWidth="1"/>
    <col min="6407" max="6407" width="18.5" style="12" customWidth="1"/>
    <col min="6408" max="6408" width="22.75" style="12" customWidth="1"/>
    <col min="6409" max="6409" width="10.75" style="12" bestFit="1" customWidth="1"/>
    <col min="6410" max="6410" width="13.5" style="12" customWidth="1"/>
    <col min="6411" max="6656" width="9" style="12"/>
    <col min="6657" max="6657" width="4" style="12" customWidth="1"/>
    <col min="6658" max="6658" width="23" style="12" customWidth="1"/>
    <col min="6659" max="6659" width="20.25" style="12" customWidth="1"/>
    <col min="6660" max="6660" width="19.5" style="12" customWidth="1"/>
    <col min="6661" max="6661" width="15.75" style="12" customWidth="1"/>
    <col min="6662" max="6662" width="0" style="12" hidden="1" customWidth="1"/>
    <col min="6663" max="6663" width="18.5" style="12" customWidth="1"/>
    <col min="6664" max="6664" width="22.75" style="12" customWidth="1"/>
    <col min="6665" max="6665" width="10.75" style="12" bestFit="1" customWidth="1"/>
    <col min="6666" max="6666" width="13.5" style="12" customWidth="1"/>
    <col min="6667" max="6912" width="9" style="12"/>
    <col min="6913" max="6913" width="4" style="12" customWidth="1"/>
    <col min="6914" max="6914" width="23" style="12" customWidth="1"/>
    <col min="6915" max="6915" width="20.25" style="12" customWidth="1"/>
    <col min="6916" max="6916" width="19.5" style="12" customWidth="1"/>
    <col min="6917" max="6917" width="15.75" style="12" customWidth="1"/>
    <col min="6918" max="6918" width="0" style="12" hidden="1" customWidth="1"/>
    <col min="6919" max="6919" width="18.5" style="12" customWidth="1"/>
    <col min="6920" max="6920" width="22.75" style="12" customWidth="1"/>
    <col min="6921" max="6921" width="10.75" style="12" bestFit="1" customWidth="1"/>
    <col min="6922" max="6922" width="13.5" style="12" customWidth="1"/>
    <col min="6923" max="7168" width="9" style="12"/>
    <col min="7169" max="7169" width="4" style="12" customWidth="1"/>
    <col min="7170" max="7170" width="23" style="12" customWidth="1"/>
    <col min="7171" max="7171" width="20.25" style="12" customWidth="1"/>
    <col min="7172" max="7172" width="19.5" style="12" customWidth="1"/>
    <col min="7173" max="7173" width="15.75" style="12" customWidth="1"/>
    <col min="7174" max="7174" width="0" style="12" hidden="1" customWidth="1"/>
    <col min="7175" max="7175" width="18.5" style="12" customWidth="1"/>
    <col min="7176" max="7176" width="22.75" style="12" customWidth="1"/>
    <col min="7177" max="7177" width="10.75" style="12" bestFit="1" customWidth="1"/>
    <col min="7178" max="7178" width="13.5" style="12" customWidth="1"/>
    <col min="7179" max="7424" width="9" style="12"/>
    <col min="7425" max="7425" width="4" style="12" customWidth="1"/>
    <col min="7426" max="7426" width="23" style="12" customWidth="1"/>
    <col min="7427" max="7427" width="20.25" style="12" customWidth="1"/>
    <col min="7428" max="7428" width="19.5" style="12" customWidth="1"/>
    <col min="7429" max="7429" width="15.75" style="12" customWidth="1"/>
    <col min="7430" max="7430" width="0" style="12" hidden="1" customWidth="1"/>
    <col min="7431" max="7431" width="18.5" style="12" customWidth="1"/>
    <col min="7432" max="7432" width="22.75" style="12" customWidth="1"/>
    <col min="7433" max="7433" width="10.75" style="12" bestFit="1" customWidth="1"/>
    <col min="7434" max="7434" width="13.5" style="12" customWidth="1"/>
    <col min="7435" max="7680" width="9" style="12"/>
    <col min="7681" max="7681" width="4" style="12" customWidth="1"/>
    <col min="7682" max="7682" width="23" style="12" customWidth="1"/>
    <col min="7683" max="7683" width="20.25" style="12" customWidth="1"/>
    <col min="7684" max="7684" width="19.5" style="12" customWidth="1"/>
    <col min="7685" max="7685" width="15.75" style="12" customWidth="1"/>
    <col min="7686" max="7686" width="0" style="12" hidden="1" customWidth="1"/>
    <col min="7687" max="7687" width="18.5" style="12" customWidth="1"/>
    <col min="7688" max="7688" width="22.75" style="12" customWidth="1"/>
    <col min="7689" max="7689" width="10.75" style="12" bestFit="1" customWidth="1"/>
    <col min="7690" max="7690" width="13.5" style="12" customWidth="1"/>
    <col min="7691" max="7936" width="9" style="12"/>
    <col min="7937" max="7937" width="4" style="12" customWidth="1"/>
    <col min="7938" max="7938" width="23" style="12" customWidth="1"/>
    <col min="7939" max="7939" width="20.25" style="12" customWidth="1"/>
    <col min="7940" max="7940" width="19.5" style="12" customWidth="1"/>
    <col min="7941" max="7941" width="15.75" style="12" customWidth="1"/>
    <col min="7942" max="7942" width="0" style="12" hidden="1" customWidth="1"/>
    <col min="7943" max="7943" width="18.5" style="12" customWidth="1"/>
    <col min="7944" max="7944" width="22.75" style="12" customWidth="1"/>
    <col min="7945" max="7945" width="10.75" style="12" bestFit="1" customWidth="1"/>
    <col min="7946" max="7946" width="13.5" style="12" customWidth="1"/>
    <col min="7947" max="8192" width="9" style="12"/>
    <col min="8193" max="8193" width="4" style="12" customWidth="1"/>
    <col min="8194" max="8194" width="23" style="12" customWidth="1"/>
    <col min="8195" max="8195" width="20.25" style="12" customWidth="1"/>
    <col min="8196" max="8196" width="19.5" style="12" customWidth="1"/>
    <col min="8197" max="8197" width="15.75" style="12" customWidth="1"/>
    <col min="8198" max="8198" width="0" style="12" hidden="1" customWidth="1"/>
    <col min="8199" max="8199" width="18.5" style="12" customWidth="1"/>
    <col min="8200" max="8200" width="22.75" style="12" customWidth="1"/>
    <col min="8201" max="8201" width="10.75" style="12" bestFit="1" customWidth="1"/>
    <col min="8202" max="8202" width="13.5" style="12" customWidth="1"/>
    <col min="8203" max="8448" width="9" style="12"/>
    <col min="8449" max="8449" width="4" style="12" customWidth="1"/>
    <col min="8450" max="8450" width="23" style="12" customWidth="1"/>
    <col min="8451" max="8451" width="20.25" style="12" customWidth="1"/>
    <col min="8452" max="8452" width="19.5" style="12" customWidth="1"/>
    <col min="8453" max="8453" width="15.75" style="12" customWidth="1"/>
    <col min="8454" max="8454" width="0" style="12" hidden="1" customWidth="1"/>
    <col min="8455" max="8455" width="18.5" style="12" customWidth="1"/>
    <col min="8456" max="8456" width="22.75" style="12" customWidth="1"/>
    <col min="8457" max="8457" width="10.75" style="12" bestFit="1" customWidth="1"/>
    <col min="8458" max="8458" width="13.5" style="12" customWidth="1"/>
    <col min="8459" max="8704" width="9" style="12"/>
    <col min="8705" max="8705" width="4" style="12" customWidth="1"/>
    <col min="8706" max="8706" width="23" style="12" customWidth="1"/>
    <col min="8707" max="8707" width="20.25" style="12" customWidth="1"/>
    <col min="8708" max="8708" width="19.5" style="12" customWidth="1"/>
    <col min="8709" max="8709" width="15.75" style="12" customWidth="1"/>
    <col min="8710" max="8710" width="0" style="12" hidden="1" customWidth="1"/>
    <col min="8711" max="8711" width="18.5" style="12" customWidth="1"/>
    <col min="8712" max="8712" width="22.75" style="12" customWidth="1"/>
    <col min="8713" max="8713" width="10.75" style="12" bestFit="1" customWidth="1"/>
    <col min="8714" max="8714" width="13.5" style="12" customWidth="1"/>
    <col min="8715" max="8960" width="9" style="12"/>
    <col min="8961" max="8961" width="4" style="12" customWidth="1"/>
    <col min="8962" max="8962" width="23" style="12" customWidth="1"/>
    <col min="8963" max="8963" width="20.25" style="12" customWidth="1"/>
    <col min="8964" max="8964" width="19.5" style="12" customWidth="1"/>
    <col min="8965" max="8965" width="15.75" style="12" customWidth="1"/>
    <col min="8966" max="8966" width="0" style="12" hidden="1" customWidth="1"/>
    <col min="8967" max="8967" width="18.5" style="12" customWidth="1"/>
    <col min="8968" max="8968" width="22.75" style="12" customWidth="1"/>
    <col min="8969" max="8969" width="10.75" style="12" bestFit="1" customWidth="1"/>
    <col min="8970" max="8970" width="13.5" style="12" customWidth="1"/>
    <col min="8971" max="9216" width="9" style="12"/>
    <col min="9217" max="9217" width="4" style="12" customWidth="1"/>
    <col min="9218" max="9218" width="23" style="12" customWidth="1"/>
    <col min="9219" max="9219" width="20.25" style="12" customWidth="1"/>
    <col min="9220" max="9220" width="19.5" style="12" customWidth="1"/>
    <col min="9221" max="9221" width="15.75" style="12" customWidth="1"/>
    <col min="9222" max="9222" width="0" style="12" hidden="1" customWidth="1"/>
    <col min="9223" max="9223" width="18.5" style="12" customWidth="1"/>
    <col min="9224" max="9224" width="22.75" style="12" customWidth="1"/>
    <col min="9225" max="9225" width="10.75" style="12" bestFit="1" customWidth="1"/>
    <col min="9226" max="9226" width="13.5" style="12" customWidth="1"/>
    <col min="9227" max="9472" width="9" style="12"/>
    <col min="9473" max="9473" width="4" style="12" customWidth="1"/>
    <col min="9474" max="9474" width="23" style="12" customWidth="1"/>
    <col min="9475" max="9475" width="20.25" style="12" customWidth="1"/>
    <col min="9476" max="9476" width="19.5" style="12" customWidth="1"/>
    <col min="9477" max="9477" width="15.75" style="12" customWidth="1"/>
    <col min="9478" max="9478" width="0" style="12" hidden="1" customWidth="1"/>
    <col min="9479" max="9479" width="18.5" style="12" customWidth="1"/>
    <col min="9480" max="9480" width="22.75" style="12" customWidth="1"/>
    <col min="9481" max="9481" width="10.75" style="12" bestFit="1" customWidth="1"/>
    <col min="9482" max="9482" width="13.5" style="12" customWidth="1"/>
    <col min="9483" max="9728" width="9" style="12"/>
    <col min="9729" max="9729" width="4" style="12" customWidth="1"/>
    <col min="9730" max="9730" width="23" style="12" customWidth="1"/>
    <col min="9731" max="9731" width="20.25" style="12" customWidth="1"/>
    <col min="9732" max="9732" width="19.5" style="12" customWidth="1"/>
    <col min="9733" max="9733" width="15.75" style="12" customWidth="1"/>
    <col min="9734" max="9734" width="0" style="12" hidden="1" customWidth="1"/>
    <col min="9735" max="9735" width="18.5" style="12" customWidth="1"/>
    <col min="9736" max="9736" width="22.75" style="12" customWidth="1"/>
    <col min="9737" max="9737" width="10.75" style="12" bestFit="1" customWidth="1"/>
    <col min="9738" max="9738" width="13.5" style="12" customWidth="1"/>
    <col min="9739" max="9984" width="9" style="12"/>
    <col min="9985" max="9985" width="4" style="12" customWidth="1"/>
    <col min="9986" max="9986" width="23" style="12" customWidth="1"/>
    <col min="9987" max="9987" width="20.25" style="12" customWidth="1"/>
    <col min="9988" max="9988" width="19.5" style="12" customWidth="1"/>
    <col min="9989" max="9989" width="15.75" style="12" customWidth="1"/>
    <col min="9990" max="9990" width="0" style="12" hidden="1" customWidth="1"/>
    <col min="9991" max="9991" width="18.5" style="12" customWidth="1"/>
    <col min="9992" max="9992" width="22.75" style="12" customWidth="1"/>
    <col min="9993" max="9993" width="10.75" style="12" bestFit="1" customWidth="1"/>
    <col min="9994" max="9994" width="13.5" style="12" customWidth="1"/>
    <col min="9995" max="10240" width="9" style="12"/>
    <col min="10241" max="10241" width="4" style="12" customWidth="1"/>
    <col min="10242" max="10242" width="23" style="12" customWidth="1"/>
    <col min="10243" max="10243" width="20.25" style="12" customWidth="1"/>
    <col min="10244" max="10244" width="19.5" style="12" customWidth="1"/>
    <col min="10245" max="10245" width="15.75" style="12" customWidth="1"/>
    <col min="10246" max="10246" width="0" style="12" hidden="1" customWidth="1"/>
    <col min="10247" max="10247" width="18.5" style="12" customWidth="1"/>
    <col min="10248" max="10248" width="22.75" style="12" customWidth="1"/>
    <col min="10249" max="10249" width="10.75" style="12" bestFit="1" customWidth="1"/>
    <col min="10250" max="10250" width="13.5" style="12" customWidth="1"/>
    <col min="10251" max="10496" width="9" style="12"/>
    <col min="10497" max="10497" width="4" style="12" customWidth="1"/>
    <col min="10498" max="10498" width="23" style="12" customWidth="1"/>
    <col min="10499" max="10499" width="20.25" style="12" customWidth="1"/>
    <col min="10500" max="10500" width="19.5" style="12" customWidth="1"/>
    <col min="10501" max="10501" width="15.75" style="12" customWidth="1"/>
    <col min="10502" max="10502" width="0" style="12" hidden="1" customWidth="1"/>
    <col min="10503" max="10503" width="18.5" style="12" customWidth="1"/>
    <col min="10504" max="10504" width="22.75" style="12" customWidth="1"/>
    <col min="10505" max="10505" width="10.75" style="12" bestFit="1" customWidth="1"/>
    <col min="10506" max="10506" width="13.5" style="12" customWidth="1"/>
    <col min="10507" max="10752" width="9" style="12"/>
    <col min="10753" max="10753" width="4" style="12" customWidth="1"/>
    <col min="10754" max="10754" width="23" style="12" customWidth="1"/>
    <col min="10755" max="10755" width="20.25" style="12" customWidth="1"/>
    <col min="10756" max="10756" width="19.5" style="12" customWidth="1"/>
    <col min="10757" max="10757" width="15.75" style="12" customWidth="1"/>
    <col min="10758" max="10758" width="0" style="12" hidden="1" customWidth="1"/>
    <col min="10759" max="10759" width="18.5" style="12" customWidth="1"/>
    <col min="10760" max="10760" width="22.75" style="12" customWidth="1"/>
    <col min="10761" max="10761" width="10.75" style="12" bestFit="1" customWidth="1"/>
    <col min="10762" max="10762" width="13.5" style="12" customWidth="1"/>
    <col min="10763" max="11008" width="9" style="12"/>
    <col min="11009" max="11009" width="4" style="12" customWidth="1"/>
    <col min="11010" max="11010" width="23" style="12" customWidth="1"/>
    <col min="11011" max="11011" width="20.25" style="12" customWidth="1"/>
    <col min="11012" max="11012" width="19.5" style="12" customWidth="1"/>
    <col min="11013" max="11013" width="15.75" style="12" customWidth="1"/>
    <col min="11014" max="11014" width="0" style="12" hidden="1" customWidth="1"/>
    <col min="11015" max="11015" width="18.5" style="12" customWidth="1"/>
    <col min="11016" max="11016" width="22.75" style="12" customWidth="1"/>
    <col min="11017" max="11017" width="10.75" style="12" bestFit="1" customWidth="1"/>
    <col min="11018" max="11018" width="13.5" style="12" customWidth="1"/>
    <col min="11019" max="11264" width="9" style="12"/>
    <col min="11265" max="11265" width="4" style="12" customWidth="1"/>
    <col min="11266" max="11266" width="23" style="12" customWidth="1"/>
    <col min="11267" max="11267" width="20.25" style="12" customWidth="1"/>
    <col min="11268" max="11268" width="19.5" style="12" customWidth="1"/>
    <col min="11269" max="11269" width="15.75" style="12" customWidth="1"/>
    <col min="11270" max="11270" width="0" style="12" hidden="1" customWidth="1"/>
    <col min="11271" max="11271" width="18.5" style="12" customWidth="1"/>
    <col min="11272" max="11272" width="22.75" style="12" customWidth="1"/>
    <col min="11273" max="11273" width="10.75" style="12" bestFit="1" customWidth="1"/>
    <col min="11274" max="11274" width="13.5" style="12" customWidth="1"/>
    <col min="11275" max="11520" width="9" style="12"/>
    <col min="11521" max="11521" width="4" style="12" customWidth="1"/>
    <col min="11522" max="11522" width="23" style="12" customWidth="1"/>
    <col min="11523" max="11523" width="20.25" style="12" customWidth="1"/>
    <col min="11524" max="11524" width="19.5" style="12" customWidth="1"/>
    <col min="11525" max="11525" width="15.75" style="12" customWidth="1"/>
    <col min="11526" max="11526" width="0" style="12" hidden="1" customWidth="1"/>
    <col min="11527" max="11527" width="18.5" style="12" customWidth="1"/>
    <col min="11528" max="11528" width="22.75" style="12" customWidth="1"/>
    <col min="11529" max="11529" width="10.75" style="12" bestFit="1" customWidth="1"/>
    <col min="11530" max="11530" width="13.5" style="12" customWidth="1"/>
    <col min="11531" max="11776" width="9" style="12"/>
    <col min="11777" max="11777" width="4" style="12" customWidth="1"/>
    <col min="11778" max="11778" width="23" style="12" customWidth="1"/>
    <col min="11779" max="11779" width="20.25" style="12" customWidth="1"/>
    <col min="11780" max="11780" width="19.5" style="12" customWidth="1"/>
    <col min="11781" max="11781" width="15.75" style="12" customWidth="1"/>
    <col min="11782" max="11782" width="0" style="12" hidden="1" customWidth="1"/>
    <col min="11783" max="11783" width="18.5" style="12" customWidth="1"/>
    <col min="11784" max="11784" width="22.75" style="12" customWidth="1"/>
    <col min="11785" max="11785" width="10.75" style="12" bestFit="1" customWidth="1"/>
    <col min="11786" max="11786" width="13.5" style="12" customWidth="1"/>
    <col min="11787" max="12032" width="9" style="12"/>
    <col min="12033" max="12033" width="4" style="12" customWidth="1"/>
    <col min="12034" max="12034" width="23" style="12" customWidth="1"/>
    <col min="12035" max="12035" width="20.25" style="12" customWidth="1"/>
    <col min="12036" max="12036" width="19.5" style="12" customWidth="1"/>
    <col min="12037" max="12037" width="15.75" style="12" customWidth="1"/>
    <col min="12038" max="12038" width="0" style="12" hidden="1" customWidth="1"/>
    <col min="12039" max="12039" width="18.5" style="12" customWidth="1"/>
    <col min="12040" max="12040" width="22.75" style="12" customWidth="1"/>
    <col min="12041" max="12041" width="10.75" style="12" bestFit="1" customWidth="1"/>
    <col min="12042" max="12042" width="13.5" style="12" customWidth="1"/>
    <col min="12043" max="12288" width="9" style="12"/>
    <col min="12289" max="12289" width="4" style="12" customWidth="1"/>
    <col min="12290" max="12290" width="23" style="12" customWidth="1"/>
    <col min="12291" max="12291" width="20.25" style="12" customWidth="1"/>
    <col min="12292" max="12292" width="19.5" style="12" customWidth="1"/>
    <col min="12293" max="12293" width="15.75" style="12" customWidth="1"/>
    <col min="12294" max="12294" width="0" style="12" hidden="1" customWidth="1"/>
    <col min="12295" max="12295" width="18.5" style="12" customWidth="1"/>
    <col min="12296" max="12296" width="22.75" style="12" customWidth="1"/>
    <col min="12297" max="12297" width="10.75" style="12" bestFit="1" customWidth="1"/>
    <col min="12298" max="12298" width="13.5" style="12" customWidth="1"/>
    <col min="12299" max="12544" width="9" style="12"/>
    <col min="12545" max="12545" width="4" style="12" customWidth="1"/>
    <col min="12546" max="12546" width="23" style="12" customWidth="1"/>
    <col min="12547" max="12547" width="20.25" style="12" customWidth="1"/>
    <col min="12548" max="12548" width="19.5" style="12" customWidth="1"/>
    <col min="12549" max="12549" width="15.75" style="12" customWidth="1"/>
    <col min="12550" max="12550" width="0" style="12" hidden="1" customWidth="1"/>
    <col min="12551" max="12551" width="18.5" style="12" customWidth="1"/>
    <col min="12552" max="12552" width="22.75" style="12" customWidth="1"/>
    <col min="12553" max="12553" width="10.75" style="12" bestFit="1" customWidth="1"/>
    <col min="12554" max="12554" width="13.5" style="12" customWidth="1"/>
    <col min="12555" max="12800" width="9" style="12"/>
    <col min="12801" max="12801" width="4" style="12" customWidth="1"/>
    <col min="12802" max="12802" width="23" style="12" customWidth="1"/>
    <col min="12803" max="12803" width="20.25" style="12" customWidth="1"/>
    <col min="12804" max="12804" width="19.5" style="12" customWidth="1"/>
    <col min="12805" max="12805" width="15.75" style="12" customWidth="1"/>
    <col min="12806" max="12806" width="0" style="12" hidden="1" customWidth="1"/>
    <col min="12807" max="12807" width="18.5" style="12" customWidth="1"/>
    <col min="12808" max="12808" width="22.75" style="12" customWidth="1"/>
    <col min="12809" max="12809" width="10.75" style="12" bestFit="1" customWidth="1"/>
    <col min="12810" max="12810" width="13.5" style="12" customWidth="1"/>
    <col min="12811" max="13056" width="9" style="12"/>
    <col min="13057" max="13057" width="4" style="12" customWidth="1"/>
    <col min="13058" max="13058" width="23" style="12" customWidth="1"/>
    <col min="13059" max="13059" width="20.25" style="12" customWidth="1"/>
    <col min="13060" max="13060" width="19.5" style="12" customWidth="1"/>
    <col min="13061" max="13061" width="15.75" style="12" customWidth="1"/>
    <col min="13062" max="13062" width="0" style="12" hidden="1" customWidth="1"/>
    <col min="13063" max="13063" width="18.5" style="12" customWidth="1"/>
    <col min="13064" max="13064" width="22.75" style="12" customWidth="1"/>
    <col min="13065" max="13065" width="10.75" style="12" bestFit="1" customWidth="1"/>
    <col min="13066" max="13066" width="13.5" style="12" customWidth="1"/>
    <col min="13067" max="13312" width="9" style="12"/>
    <col min="13313" max="13313" width="4" style="12" customWidth="1"/>
    <col min="13314" max="13314" width="23" style="12" customWidth="1"/>
    <col min="13315" max="13315" width="20.25" style="12" customWidth="1"/>
    <col min="13316" max="13316" width="19.5" style="12" customWidth="1"/>
    <col min="13317" max="13317" width="15.75" style="12" customWidth="1"/>
    <col min="13318" max="13318" width="0" style="12" hidden="1" customWidth="1"/>
    <col min="13319" max="13319" width="18.5" style="12" customWidth="1"/>
    <col min="13320" max="13320" width="22.75" style="12" customWidth="1"/>
    <col min="13321" max="13321" width="10.75" style="12" bestFit="1" customWidth="1"/>
    <col min="13322" max="13322" width="13.5" style="12" customWidth="1"/>
    <col min="13323" max="13568" width="9" style="12"/>
    <col min="13569" max="13569" width="4" style="12" customWidth="1"/>
    <col min="13570" max="13570" width="23" style="12" customWidth="1"/>
    <col min="13571" max="13571" width="20.25" style="12" customWidth="1"/>
    <col min="13572" max="13572" width="19.5" style="12" customWidth="1"/>
    <col min="13573" max="13573" width="15.75" style="12" customWidth="1"/>
    <col min="13574" max="13574" width="0" style="12" hidden="1" customWidth="1"/>
    <col min="13575" max="13575" width="18.5" style="12" customWidth="1"/>
    <col min="13576" max="13576" width="22.75" style="12" customWidth="1"/>
    <col min="13577" max="13577" width="10.75" style="12" bestFit="1" customWidth="1"/>
    <col min="13578" max="13578" width="13.5" style="12" customWidth="1"/>
    <col min="13579" max="13824" width="9" style="12"/>
    <col min="13825" max="13825" width="4" style="12" customWidth="1"/>
    <col min="13826" max="13826" width="23" style="12" customWidth="1"/>
    <col min="13827" max="13827" width="20.25" style="12" customWidth="1"/>
    <col min="13828" max="13828" width="19.5" style="12" customWidth="1"/>
    <col min="13829" max="13829" width="15.75" style="12" customWidth="1"/>
    <col min="13830" max="13830" width="0" style="12" hidden="1" customWidth="1"/>
    <col min="13831" max="13831" width="18.5" style="12" customWidth="1"/>
    <col min="13832" max="13832" width="22.75" style="12" customWidth="1"/>
    <col min="13833" max="13833" width="10.75" style="12" bestFit="1" customWidth="1"/>
    <col min="13834" max="13834" width="13.5" style="12" customWidth="1"/>
    <col min="13835" max="14080" width="9" style="12"/>
    <col min="14081" max="14081" width="4" style="12" customWidth="1"/>
    <col min="14082" max="14082" width="23" style="12" customWidth="1"/>
    <col min="14083" max="14083" width="20.25" style="12" customWidth="1"/>
    <col min="14084" max="14084" width="19.5" style="12" customWidth="1"/>
    <col min="14085" max="14085" width="15.75" style="12" customWidth="1"/>
    <col min="14086" max="14086" width="0" style="12" hidden="1" customWidth="1"/>
    <col min="14087" max="14087" width="18.5" style="12" customWidth="1"/>
    <col min="14088" max="14088" width="22.75" style="12" customWidth="1"/>
    <col min="14089" max="14089" width="10.75" style="12" bestFit="1" customWidth="1"/>
    <col min="14090" max="14090" width="13.5" style="12" customWidth="1"/>
    <col min="14091" max="14336" width="9" style="12"/>
    <col min="14337" max="14337" width="4" style="12" customWidth="1"/>
    <col min="14338" max="14338" width="23" style="12" customWidth="1"/>
    <col min="14339" max="14339" width="20.25" style="12" customWidth="1"/>
    <col min="14340" max="14340" width="19.5" style="12" customWidth="1"/>
    <col min="14341" max="14341" width="15.75" style="12" customWidth="1"/>
    <col min="14342" max="14342" width="0" style="12" hidden="1" customWidth="1"/>
    <col min="14343" max="14343" width="18.5" style="12" customWidth="1"/>
    <col min="14344" max="14344" width="22.75" style="12" customWidth="1"/>
    <col min="14345" max="14345" width="10.75" style="12" bestFit="1" customWidth="1"/>
    <col min="14346" max="14346" width="13.5" style="12" customWidth="1"/>
    <col min="14347" max="14592" width="9" style="12"/>
    <col min="14593" max="14593" width="4" style="12" customWidth="1"/>
    <col min="14594" max="14594" width="23" style="12" customWidth="1"/>
    <col min="14595" max="14595" width="20.25" style="12" customWidth="1"/>
    <col min="14596" max="14596" width="19.5" style="12" customWidth="1"/>
    <col min="14597" max="14597" width="15.75" style="12" customWidth="1"/>
    <col min="14598" max="14598" width="0" style="12" hidden="1" customWidth="1"/>
    <col min="14599" max="14599" width="18.5" style="12" customWidth="1"/>
    <col min="14600" max="14600" width="22.75" style="12" customWidth="1"/>
    <col min="14601" max="14601" width="10.75" style="12" bestFit="1" customWidth="1"/>
    <col min="14602" max="14602" width="13.5" style="12" customWidth="1"/>
    <col min="14603" max="14848" width="9" style="12"/>
    <col min="14849" max="14849" width="4" style="12" customWidth="1"/>
    <col min="14850" max="14850" width="23" style="12" customWidth="1"/>
    <col min="14851" max="14851" width="20.25" style="12" customWidth="1"/>
    <col min="14852" max="14852" width="19.5" style="12" customWidth="1"/>
    <col min="14853" max="14853" width="15.75" style="12" customWidth="1"/>
    <col min="14854" max="14854" width="0" style="12" hidden="1" customWidth="1"/>
    <col min="14855" max="14855" width="18.5" style="12" customWidth="1"/>
    <col min="14856" max="14856" width="22.75" style="12" customWidth="1"/>
    <col min="14857" max="14857" width="10.75" style="12" bestFit="1" customWidth="1"/>
    <col min="14858" max="14858" width="13.5" style="12" customWidth="1"/>
    <col min="14859" max="15104" width="9" style="12"/>
    <col min="15105" max="15105" width="4" style="12" customWidth="1"/>
    <col min="15106" max="15106" width="23" style="12" customWidth="1"/>
    <col min="15107" max="15107" width="20.25" style="12" customWidth="1"/>
    <col min="15108" max="15108" width="19.5" style="12" customWidth="1"/>
    <col min="15109" max="15109" width="15.75" style="12" customWidth="1"/>
    <col min="15110" max="15110" width="0" style="12" hidden="1" customWidth="1"/>
    <col min="15111" max="15111" width="18.5" style="12" customWidth="1"/>
    <col min="15112" max="15112" width="22.75" style="12" customWidth="1"/>
    <col min="15113" max="15113" width="10.75" style="12" bestFit="1" customWidth="1"/>
    <col min="15114" max="15114" width="13.5" style="12" customWidth="1"/>
    <col min="15115" max="15360" width="9" style="12"/>
    <col min="15361" max="15361" width="4" style="12" customWidth="1"/>
    <col min="15362" max="15362" width="23" style="12" customWidth="1"/>
    <col min="15363" max="15363" width="20.25" style="12" customWidth="1"/>
    <col min="15364" max="15364" width="19.5" style="12" customWidth="1"/>
    <col min="15365" max="15365" width="15.75" style="12" customWidth="1"/>
    <col min="15366" max="15366" width="0" style="12" hidden="1" customWidth="1"/>
    <col min="15367" max="15367" width="18.5" style="12" customWidth="1"/>
    <col min="15368" max="15368" width="22.75" style="12" customWidth="1"/>
    <col min="15369" max="15369" width="10.75" style="12" bestFit="1" customWidth="1"/>
    <col min="15370" max="15370" width="13.5" style="12" customWidth="1"/>
    <col min="15371" max="15616" width="9" style="12"/>
    <col min="15617" max="15617" width="4" style="12" customWidth="1"/>
    <col min="15618" max="15618" width="23" style="12" customWidth="1"/>
    <col min="15619" max="15619" width="20.25" style="12" customWidth="1"/>
    <col min="15620" max="15620" width="19.5" style="12" customWidth="1"/>
    <col min="15621" max="15621" width="15.75" style="12" customWidth="1"/>
    <col min="15622" max="15622" width="0" style="12" hidden="1" customWidth="1"/>
    <col min="15623" max="15623" width="18.5" style="12" customWidth="1"/>
    <col min="15624" max="15624" width="22.75" style="12" customWidth="1"/>
    <col min="15625" max="15625" width="10.75" style="12" bestFit="1" customWidth="1"/>
    <col min="15626" max="15626" width="13.5" style="12" customWidth="1"/>
    <col min="15627" max="15872" width="9" style="12"/>
    <col min="15873" max="15873" width="4" style="12" customWidth="1"/>
    <col min="15874" max="15874" width="23" style="12" customWidth="1"/>
    <col min="15875" max="15875" width="20.25" style="12" customWidth="1"/>
    <col min="15876" max="15876" width="19.5" style="12" customWidth="1"/>
    <col min="15877" max="15877" width="15.75" style="12" customWidth="1"/>
    <col min="15878" max="15878" width="0" style="12" hidden="1" customWidth="1"/>
    <col min="15879" max="15879" width="18.5" style="12" customWidth="1"/>
    <col min="15880" max="15880" width="22.75" style="12" customWidth="1"/>
    <col min="15881" max="15881" width="10.75" style="12" bestFit="1" customWidth="1"/>
    <col min="15882" max="15882" width="13.5" style="12" customWidth="1"/>
    <col min="15883" max="16128" width="9" style="12"/>
    <col min="16129" max="16129" width="4" style="12" customWidth="1"/>
    <col min="16130" max="16130" width="23" style="12" customWidth="1"/>
    <col min="16131" max="16131" width="20.25" style="12" customWidth="1"/>
    <col min="16132" max="16132" width="19.5" style="12" customWidth="1"/>
    <col min="16133" max="16133" width="15.75" style="12" customWidth="1"/>
    <col min="16134" max="16134" width="0" style="12" hidden="1" customWidth="1"/>
    <col min="16135" max="16135" width="18.5" style="12" customWidth="1"/>
    <col min="16136" max="16136" width="22.75" style="12" customWidth="1"/>
    <col min="16137" max="16137" width="10.75" style="12" bestFit="1" customWidth="1"/>
    <col min="16138" max="16138" width="13.5" style="12" customWidth="1"/>
    <col min="16139" max="16384" width="9" style="12"/>
  </cols>
  <sheetData>
    <row r="1" spans="1:57" s="2" customFormat="1" ht="18.75" customHeight="1">
      <c r="A1" s="1" t="s">
        <v>0</v>
      </c>
      <c r="E1" s="3"/>
      <c r="I1" s="4"/>
      <c r="J1" s="4"/>
      <c r="K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</row>
    <row r="2" spans="1:57" s="2" customFormat="1" ht="18.75">
      <c r="A2" s="1" t="s">
        <v>1</v>
      </c>
      <c r="E2" s="3"/>
      <c r="I2" s="4"/>
      <c r="J2" s="4"/>
      <c r="K2" s="4"/>
      <c r="L2" s="7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</row>
    <row r="3" spans="1:57" s="2" customFormat="1" ht="11.25" customHeight="1">
      <c r="A3" s="1"/>
      <c r="E3" s="3"/>
      <c r="I3" s="4"/>
      <c r="J3" s="4"/>
      <c r="K3" s="4"/>
      <c r="L3" s="7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</row>
    <row r="4" spans="1:57" s="2" customFormat="1" ht="27.75" customHeight="1">
      <c r="A4" s="8" t="s">
        <v>170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</row>
    <row r="5" spans="1:57" s="2" customFormat="1" ht="26.25" customHeight="1">
      <c r="A5" s="9" t="s">
        <v>171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</row>
    <row r="6" spans="1:57">
      <c r="A6" s="10"/>
      <c r="B6" s="10"/>
      <c r="C6" s="10"/>
      <c r="D6" s="10"/>
      <c r="E6" s="10"/>
      <c r="F6" s="10"/>
      <c r="G6" s="10"/>
      <c r="H6" s="10"/>
    </row>
    <row r="7" spans="1:57" s="20" customFormat="1" ht="46.5" customHeight="1">
      <c r="A7" s="13" t="s">
        <v>2</v>
      </c>
      <c r="B7" s="13" t="s">
        <v>3</v>
      </c>
      <c r="C7" s="13" t="s">
        <v>4</v>
      </c>
      <c r="D7" s="13" t="s">
        <v>5</v>
      </c>
      <c r="E7" s="13" t="s">
        <v>6</v>
      </c>
      <c r="F7" s="14" t="s">
        <v>7</v>
      </c>
      <c r="G7" s="15" t="s">
        <v>8</v>
      </c>
      <c r="H7" s="15" t="s">
        <v>9</v>
      </c>
      <c r="I7" s="16" t="s">
        <v>10</v>
      </c>
      <c r="J7" s="17" t="s">
        <v>11</v>
      </c>
      <c r="K7" s="15" t="s">
        <v>12</v>
      </c>
      <c r="L7" s="15" t="s">
        <v>13</v>
      </c>
      <c r="M7" s="15" t="s">
        <v>14</v>
      </c>
      <c r="N7" s="15" t="s">
        <v>15</v>
      </c>
      <c r="O7" s="15" t="s">
        <v>16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</row>
    <row r="8" spans="1:57" s="57" customFormat="1" ht="17.25" customHeight="1">
      <c r="A8" s="56" t="s">
        <v>17</v>
      </c>
      <c r="B8" s="56" t="s">
        <v>41</v>
      </c>
      <c r="C8" s="56">
        <v>1</v>
      </c>
      <c r="D8" s="56">
        <v>2</v>
      </c>
      <c r="E8" s="56">
        <v>3</v>
      </c>
      <c r="F8" s="56">
        <v>4</v>
      </c>
      <c r="G8" s="56">
        <v>5</v>
      </c>
      <c r="H8" s="56">
        <v>6</v>
      </c>
      <c r="I8" s="56">
        <v>7</v>
      </c>
      <c r="J8" s="56">
        <v>8</v>
      </c>
      <c r="K8" s="56">
        <v>9</v>
      </c>
      <c r="L8" s="56">
        <v>10</v>
      </c>
      <c r="M8" s="56">
        <v>12</v>
      </c>
      <c r="N8" s="56">
        <v>13</v>
      </c>
      <c r="O8" s="56">
        <v>14</v>
      </c>
    </row>
    <row r="9" spans="1:57" s="64" customFormat="1" ht="17.25" customHeight="1">
      <c r="A9" s="77">
        <v>1</v>
      </c>
      <c r="B9" s="58" t="s">
        <v>42</v>
      </c>
      <c r="C9" s="59">
        <v>3.99</v>
      </c>
      <c r="D9" s="60">
        <v>0.2</v>
      </c>
      <c r="E9" s="61"/>
      <c r="F9" s="78">
        <f>SUM(C9:E9)</f>
        <v>4.1900000000000004</v>
      </c>
      <c r="G9" s="159">
        <f>F9*1490000</f>
        <v>6243100.0000000009</v>
      </c>
      <c r="H9" s="160" t="s">
        <v>18</v>
      </c>
      <c r="I9" s="161">
        <f>22*12</f>
        <v>264</v>
      </c>
      <c r="J9" s="161">
        <v>1</v>
      </c>
      <c r="K9" s="161"/>
      <c r="L9" s="148">
        <f>319000/5</f>
        <v>63800</v>
      </c>
      <c r="M9" s="149">
        <v>447000</v>
      </c>
      <c r="N9" s="150">
        <f>L9+M9</f>
        <v>510800</v>
      </c>
      <c r="O9" s="79"/>
    </row>
    <row r="10" spans="1:57" s="64" customFormat="1" ht="17.25" customHeight="1">
      <c r="A10" s="77">
        <v>2</v>
      </c>
      <c r="B10" s="58" t="s">
        <v>30</v>
      </c>
      <c r="C10" s="59">
        <v>4.0599999999999996</v>
      </c>
      <c r="D10" s="60">
        <v>0.15</v>
      </c>
      <c r="E10" s="61">
        <v>0.24359999999999996</v>
      </c>
      <c r="F10" s="78">
        <f>SUM(C10:E10)</f>
        <v>4.4535999999999998</v>
      </c>
      <c r="G10" s="159">
        <f>F10*1490000</f>
        <v>6635864</v>
      </c>
      <c r="H10" s="160" t="s">
        <v>18</v>
      </c>
      <c r="I10" s="161">
        <f>22*12</f>
        <v>264</v>
      </c>
      <c r="J10" s="161">
        <v>1</v>
      </c>
      <c r="K10" s="161"/>
      <c r="L10" s="148">
        <f>319000/5</f>
        <v>63800</v>
      </c>
      <c r="M10" s="149"/>
      <c r="N10" s="150">
        <f t="shared" ref="N10:N13" si="0">L10+M10</f>
        <v>63800</v>
      </c>
      <c r="O10" s="79"/>
    </row>
    <row r="11" spans="1:57" s="64" customFormat="1" ht="17.25" customHeight="1">
      <c r="A11" s="77">
        <v>3</v>
      </c>
      <c r="B11" s="58" t="s">
        <v>43</v>
      </c>
      <c r="C11" s="59">
        <v>2.06</v>
      </c>
      <c r="D11" s="60"/>
      <c r="E11" s="61"/>
      <c r="F11" s="78">
        <f t="shared" ref="F11:F75" si="1">SUM(C11:E11)</f>
        <v>2.06</v>
      </c>
      <c r="G11" s="159">
        <f t="shared" ref="G11:G75" si="2">F11*1490000</f>
        <v>3069400</v>
      </c>
      <c r="H11" s="160" t="s">
        <v>18</v>
      </c>
      <c r="I11" s="161">
        <f t="shared" ref="I11:I75" si="3">22*12</f>
        <v>264</v>
      </c>
      <c r="J11" s="161">
        <v>1</v>
      </c>
      <c r="K11" s="161"/>
      <c r="L11" s="148">
        <f t="shared" ref="L11:L13" si="4">319000/5</f>
        <v>63800</v>
      </c>
      <c r="M11" s="149"/>
      <c r="N11" s="150">
        <f t="shared" si="0"/>
        <v>63800</v>
      </c>
      <c r="O11" s="79"/>
    </row>
    <row r="12" spans="1:57" s="64" customFormat="1" ht="17.25" customHeight="1">
      <c r="A12" s="77">
        <v>4</v>
      </c>
      <c r="B12" s="58" t="s">
        <v>44</v>
      </c>
      <c r="C12" s="59">
        <v>4.0599999999999996</v>
      </c>
      <c r="D12" s="60"/>
      <c r="E12" s="61"/>
      <c r="F12" s="78">
        <f t="shared" si="1"/>
        <v>4.0599999999999996</v>
      </c>
      <c r="G12" s="159">
        <f t="shared" si="2"/>
        <v>6049399.9999999991</v>
      </c>
      <c r="H12" s="160" t="s">
        <v>18</v>
      </c>
      <c r="I12" s="161">
        <f t="shared" si="3"/>
        <v>264</v>
      </c>
      <c r="J12" s="161">
        <v>1</v>
      </c>
      <c r="K12" s="161"/>
      <c r="L12" s="148">
        <f t="shared" si="4"/>
        <v>63800</v>
      </c>
      <c r="M12" s="149"/>
      <c r="N12" s="150">
        <f t="shared" si="0"/>
        <v>63800</v>
      </c>
      <c r="O12" s="79"/>
    </row>
    <row r="13" spans="1:57" s="64" customFormat="1" ht="17.25" customHeight="1">
      <c r="A13" s="77">
        <v>5</v>
      </c>
      <c r="B13" s="58" t="s">
        <v>45</v>
      </c>
      <c r="C13" s="59">
        <v>2.06</v>
      </c>
      <c r="D13" s="61"/>
      <c r="E13" s="61"/>
      <c r="F13" s="78">
        <f t="shared" si="1"/>
        <v>2.06</v>
      </c>
      <c r="G13" s="159">
        <f t="shared" si="2"/>
        <v>3069400</v>
      </c>
      <c r="H13" s="160" t="s">
        <v>18</v>
      </c>
      <c r="I13" s="161">
        <f t="shared" si="3"/>
        <v>264</v>
      </c>
      <c r="J13" s="161">
        <v>1</v>
      </c>
      <c r="K13" s="161"/>
      <c r="L13" s="148">
        <f t="shared" si="4"/>
        <v>63800</v>
      </c>
      <c r="M13" s="149"/>
      <c r="N13" s="150">
        <f t="shared" si="0"/>
        <v>63800</v>
      </c>
      <c r="O13" s="79"/>
    </row>
    <row r="14" spans="1:57" s="64" customFormat="1" ht="17.25" customHeight="1">
      <c r="A14" s="77"/>
      <c r="B14" s="65" t="s">
        <v>46</v>
      </c>
      <c r="C14" s="66">
        <f>SUM(C9:C13)</f>
        <v>16.23</v>
      </c>
      <c r="D14" s="66">
        <f t="shared" ref="D14:N14" si="5">SUM(D9:D13)</f>
        <v>0.35</v>
      </c>
      <c r="E14" s="66">
        <f t="shared" si="5"/>
        <v>0.24359999999999996</v>
      </c>
      <c r="F14" s="66">
        <f t="shared" si="5"/>
        <v>16.823599999999999</v>
      </c>
      <c r="G14" s="151">
        <f t="shared" si="5"/>
        <v>25067164</v>
      </c>
      <c r="H14" s="151">
        <f t="shared" si="5"/>
        <v>0</v>
      </c>
      <c r="I14" s="151">
        <f t="shared" si="5"/>
        <v>1320</v>
      </c>
      <c r="J14" s="151"/>
      <c r="K14" s="151"/>
      <c r="L14" s="151">
        <f t="shared" si="5"/>
        <v>319000</v>
      </c>
      <c r="M14" s="151">
        <f t="shared" si="5"/>
        <v>447000</v>
      </c>
      <c r="N14" s="151">
        <f t="shared" si="5"/>
        <v>766000</v>
      </c>
      <c r="O14" s="63"/>
    </row>
    <row r="15" spans="1:57" s="57" customFormat="1" ht="17.25" customHeight="1">
      <c r="A15" s="56" t="s">
        <v>19</v>
      </c>
      <c r="B15" s="56" t="s">
        <v>47</v>
      </c>
      <c r="C15" s="68"/>
      <c r="D15" s="68"/>
      <c r="E15" s="68"/>
      <c r="F15" s="68"/>
      <c r="G15" s="158"/>
      <c r="H15" s="158"/>
      <c r="I15" s="158"/>
      <c r="J15" s="158"/>
      <c r="K15" s="158"/>
      <c r="L15" s="158"/>
      <c r="M15" s="158"/>
      <c r="N15" s="150">
        <f t="shared" ref="N9:N15" si="6">L15</f>
        <v>0</v>
      </c>
      <c r="O15" s="56"/>
    </row>
    <row r="16" spans="1:57" s="64" customFormat="1" ht="17.25" customHeight="1">
      <c r="A16" s="77">
        <v>6</v>
      </c>
      <c r="B16" s="58" t="s">
        <v>29</v>
      </c>
      <c r="C16" s="59">
        <v>4.0599999999999996</v>
      </c>
      <c r="D16" s="60">
        <v>0.2</v>
      </c>
      <c r="E16" s="61">
        <v>0.32479999999999998</v>
      </c>
      <c r="F16" s="78">
        <f t="shared" si="1"/>
        <v>4.5847999999999995</v>
      </c>
      <c r="G16" s="159">
        <f t="shared" si="2"/>
        <v>6831351.9999999991</v>
      </c>
      <c r="H16" s="160" t="s">
        <v>18</v>
      </c>
      <c r="I16" s="161">
        <f t="shared" si="3"/>
        <v>264</v>
      </c>
      <c r="J16" s="161">
        <v>1</v>
      </c>
      <c r="K16" s="161"/>
      <c r="L16" s="148">
        <v>1445696</v>
      </c>
      <c r="M16" s="148"/>
      <c r="N16" s="150">
        <f>L16</f>
        <v>1445696</v>
      </c>
      <c r="O16" s="152"/>
    </row>
    <row r="17" spans="1:15" s="64" customFormat="1" ht="17.25" customHeight="1">
      <c r="A17" s="77">
        <v>7</v>
      </c>
      <c r="B17" s="58" t="s">
        <v>48</v>
      </c>
      <c r="C17" s="59">
        <v>4.0599999999999996</v>
      </c>
      <c r="D17" s="60">
        <v>0.15</v>
      </c>
      <c r="E17" s="61">
        <v>0.40599999999999997</v>
      </c>
      <c r="F17" s="78">
        <f t="shared" si="1"/>
        <v>4.6159999999999997</v>
      </c>
      <c r="G17" s="159">
        <f t="shared" si="2"/>
        <v>6877839.9999999991</v>
      </c>
      <c r="H17" s="160" t="s">
        <v>18</v>
      </c>
      <c r="I17" s="161">
        <f t="shared" si="3"/>
        <v>264</v>
      </c>
      <c r="J17" s="161">
        <v>1</v>
      </c>
      <c r="K17" s="161"/>
      <c r="L17" s="148">
        <v>1442124.628182889</v>
      </c>
      <c r="M17" s="148"/>
      <c r="N17" s="150">
        <f t="shared" ref="N17:N21" si="7">L17</f>
        <v>1442124.628182889</v>
      </c>
      <c r="O17" s="152"/>
    </row>
    <row r="18" spans="1:15" s="64" customFormat="1" ht="17.25" customHeight="1">
      <c r="A18" s="77">
        <v>8</v>
      </c>
      <c r="B18" s="58" t="s">
        <v>49</v>
      </c>
      <c r="C18" s="59">
        <v>3.26</v>
      </c>
      <c r="D18" s="60"/>
      <c r="E18" s="61"/>
      <c r="F18" s="78">
        <f t="shared" si="1"/>
        <v>3.26</v>
      </c>
      <c r="G18" s="159">
        <f t="shared" si="2"/>
        <v>4857400</v>
      </c>
      <c r="H18" s="160" t="s">
        <v>18</v>
      </c>
      <c r="I18" s="161">
        <f t="shared" si="3"/>
        <v>264</v>
      </c>
      <c r="J18" s="161">
        <v>1</v>
      </c>
      <c r="K18" s="161"/>
      <c r="L18" s="148">
        <v>1171726.2603985972</v>
      </c>
      <c r="M18" s="148"/>
      <c r="N18" s="150">
        <f t="shared" si="7"/>
        <v>1171726.2603985972</v>
      </c>
      <c r="O18" s="152"/>
    </row>
    <row r="19" spans="1:15" s="64" customFormat="1" ht="17.25" customHeight="1">
      <c r="A19" s="77">
        <v>9</v>
      </c>
      <c r="B19" s="69" t="s">
        <v>31</v>
      </c>
      <c r="C19" s="59">
        <v>4.0599999999999996</v>
      </c>
      <c r="D19" s="60"/>
      <c r="E19" s="61">
        <v>0.24359999999999996</v>
      </c>
      <c r="F19" s="78">
        <f t="shared" si="1"/>
        <v>4.3035999999999994</v>
      </c>
      <c r="G19" s="159">
        <f t="shared" si="2"/>
        <v>6412363.9999999991</v>
      </c>
      <c r="H19" s="160" t="s">
        <v>18</v>
      </c>
      <c r="I19" s="161">
        <f t="shared" si="3"/>
        <v>264</v>
      </c>
      <c r="J19" s="161">
        <v>1</v>
      </c>
      <c r="K19" s="161"/>
      <c r="L19" s="148">
        <v>1171726</v>
      </c>
      <c r="M19" s="148"/>
      <c r="N19" s="150">
        <f t="shared" si="7"/>
        <v>1171726</v>
      </c>
      <c r="O19" s="152"/>
    </row>
    <row r="20" spans="1:15" s="64" customFormat="1" ht="17.25" customHeight="1">
      <c r="A20" s="77">
        <v>10</v>
      </c>
      <c r="B20" s="58" t="s">
        <v>50</v>
      </c>
      <c r="C20" s="59">
        <v>2.86</v>
      </c>
      <c r="D20" s="60"/>
      <c r="E20" s="61"/>
      <c r="F20" s="78">
        <f t="shared" si="1"/>
        <v>2.86</v>
      </c>
      <c r="G20" s="159">
        <f t="shared" si="2"/>
        <v>4261400</v>
      </c>
      <c r="H20" s="160" t="s">
        <v>18</v>
      </c>
      <c r="I20" s="161">
        <f t="shared" si="3"/>
        <v>264</v>
      </c>
      <c r="J20" s="161">
        <v>1</v>
      </c>
      <c r="K20" s="161"/>
      <c r="L20" s="148">
        <v>1171726</v>
      </c>
      <c r="M20" s="148"/>
      <c r="N20" s="150">
        <f t="shared" si="7"/>
        <v>1171726</v>
      </c>
      <c r="O20" s="152"/>
    </row>
    <row r="21" spans="1:15" s="64" customFormat="1" ht="17.25" customHeight="1">
      <c r="A21" s="77">
        <v>11</v>
      </c>
      <c r="B21" s="58" t="s">
        <v>51</v>
      </c>
      <c r="C21" s="59">
        <v>2.34</v>
      </c>
      <c r="D21" s="59"/>
      <c r="E21" s="61"/>
      <c r="F21" s="78">
        <f t="shared" si="1"/>
        <v>2.34</v>
      </c>
      <c r="G21" s="159">
        <f t="shared" si="2"/>
        <v>3486600</v>
      </c>
      <c r="H21" s="160" t="s">
        <v>18</v>
      </c>
      <c r="I21" s="161">
        <f t="shared" si="3"/>
        <v>264</v>
      </c>
      <c r="J21" s="161">
        <v>1</v>
      </c>
      <c r="K21" s="161"/>
      <c r="L21" s="148"/>
      <c r="M21" s="149"/>
      <c r="N21" s="150">
        <f t="shared" si="7"/>
        <v>0</v>
      </c>
      <c r="O21" s="152"/>
    </row>
    <row r="22" spans="1:15" s="64" customFormat="1" ht="17.25" customHeight="1">
      <c r="A22" s="65"/>
      <c r="B22" s="65" t="s">
        <v>46</v>
      </c>
      <c r="C22" s="66">
        <f>SUM(C16:C21)</f>
        <v>20.639999999999997</v>
      </c>
      <c r="D22" s="66">
        <f t="shared" ref="D22:N22" si="8">SUM(D16:D21)</f>
        <v>0.35</v>
      </c>
      <c r="E22" s="66">
        <f t="shared" si="8"/>
        <v>0.97439999999999982</v>
      </c>
      <c r="F22" s="66">
        <f t="shared" si="8"/>
        <v>21.964399999999998</v>
      </c>
      <c r="G22" s="151">
        <f t="shared" si="8"/>
        <v>32726956</v>
      </c>
      <c r="H22" s="151">
        <f t="shared" si="8"/>
        <v>0</v>
      </c>
      <c r="I22" s="151">
        <f t="shared" si="8"/>
        <v>1584</v>
      </c>
      <c r="J22" s="151">
        <f t="shared" si="8"/>
        <v>6</v>
      </c>
      <c r="K22" s="151">
        <f t="shared" si="8"/>
        <v>0</v>
      </c>
      <c r="L22" s="151">
        <f t="shared" si="8"/>
        <v>6402998.8885814864</v>
      </c>
      <c r="M22" s="151">
        <f t="shared" ref="M22" si="9">SUM(M16:M21)</f>
        <v>0</v>
      </c>
      <c r="N22" s="151">
        <f t="shared" ref="N22" si="10">SUM(N16:N21)</f>
        <v>6402998.8885814864</v>
      </c>
      <c r="O22" s="153"/>
    </row>
    <row r="23" spans="1:15" s="57" customFormat="1" ht="17.25" customHeight="1">
      <c r="A23" s="56" t="s">
        <v>21</v>
      </c>
      <c r="B23" s="56" t="s">
        <v>52</v>
      </c>
      <c r="C23" s="68"/>
      <c r="D23" s="68"/>
      <c r="E23" s="68"/>
      <c r="F23" s="68"/>
      <c r="G23" s="158"/>
      <c r="H23" s="158"/>
      <c r="I23" s="158"/>
      <c r="J23" s="158"/>
      <c r="K23" s="158"/>
      <c r="L23" s="158"/>
      <c r="M23" s="158"/>
      <c r="N23" s="158"/>
      <c r="O23" s="56"/>
    </row>
    <row r="24" spans="1:15" s="71" customFormat="1" ht="17.25" customHeight="1">
      <c r="A24" s="77">
        <v>12</v>
      </c>
      <c r="B24" s="58" t="s">
        <v>53</v>
      </c>
      <c r="C24" s="59">
        <v>3.66</v>
      </c>
      <c r="D24" s="61">
        <v>0.2</v>
      </c>
      <c r="E24" s="61"/>
      <c r="F24" s="78">
        <f t="shared" si="1"/>
        <v>3.8600000000000003</v>
      </c>
      <c r="G24" s="159">
        <f t="shared" si="2"/>
        <v>5751400.0000000009</v>
      </c>
      <c r="H24" s="160" t="s">
        <v>18</v>
      </c>
      <c r="I24" s="161">
        <f t="shared" si="3"/>
        <v>264</v>
      </c>
      <c r="J24" s="161"/>
      <c r="K24" s="161"/>
      <c r="L24" s="148">
        <f>1274600+285000</f>
        <v>1559600</v>
      </c>
      <c r="M24" s="149"/>
      <c r="N24" s="150">
        <f>L24</f>
        <v>1559600</v>
      </c>
      <c r="O24" s="79"/>
    </row>
    <row r="25" spans="1:15" s="71" customFormat="1" ht="17.25" customHeight="1">
      <c r="A25" s="77">
        <v>13</v>
      </c>
      <c r="B25" s="58" t="s">
        <v>54</v>
      </c>
      <c r="C25" s="59">
        <v>4.0599999999999996</v>
      </c>
      <c r="D25" s="60">
        <v>0.15</v>
      </c>
      <c r="E25" s="61">
        <v>0.24359999999999996</v>
      </c>
      <c r="F25" s="78">
        <f t="shared" si="1"/>
        <v>4.4535999999999998</v>
      </c>
      <c r="G25" s="159">
        <f t="shared" si="2"/>
        <v>6635864</v>
      </c>
      <c r="H25" s="160" t="s">
        <v>18</v>
      </c>
      <c r="I25" s="161">
        <f t="shared" si="3"/>
        <v>264</v>
      </c>
      <c r="J25" s="161"/>
      <c r="K25" s="161"/>
      <c r="L25" s="148">
        <v>1274600</v>
      </c>
      <c r="M25" s="149"/>
      <c r="N25" s="150">
        <f t="shared" ref="N25:N29" si="11">L25</f>
        <v>1274600</v>
      </c>
      <c r="O25" s="80"/>
    </row>
    <row r="26" spans="1:15" s="71" customFormat="1" ht="17.25" customHeight="1">
      <c r="A26" s="77">
        <v>14</v>
      </c>
      <c r="B26" s="58" t="s">
        <v>55</v>
      </c>
      <c r="C26" s="59">
        <v>4.0599999999999996</v>
      </c>
      <c r="D26" s="60"/>
      <c r="E26" s="61"/>
      <c r="F26" s="78">
        <f t="shared" si="1"/>
        <v>4.0599999999999996</v>
      </c>
      <c r="G26" s="159">
        <f t="shared" si="2"/>
        <v>6049399.9999999991</v>
      </c>
      <c r="H26" s="160" t="s">
        <v>18</v>
      </c>
      <c r="I26" s="161">
        <f t="shared" si="3"/>
        <v>264</v>
      </c>
      <c r="J26" s="161"/>
      <c r="K26" s="161"/>
      <c r="L26" s="148">
        <v>1274600</v>
      </c>
      <c r="M26" s="149"/>
      <c r="N26" s="150">
        <f t="shared" si="11"/>
        <v>1274600</v>
      </c>
      <c r="O26" s="79"/>
    </row>
    <row r="27" spans="1:15" s="71" customFormat="1" ht="17.25" customHeight="1">
      <c r="A27" s="77">
        <v>15</v>
      </c>
      <c r="B27" s="58" t="s">
        <v>56</v>
      </c>
      <c r="C27" s="72">
        <v>3.06</v>
      </c>
      <c r="D27" s="73"/>
      <c r="E27" s="74"/>
      <c r="F27" s="78">
        <f t="shared" si="1"/>
        <v>3.06</v>
      </c>
      <c r="G27" s="159">
        <f t="shared" si="2"/>
        <v>4559400</v>
      </c>
      <c r="H27" s="160" t="s">
        <v>18</v>
      </c>
      <c r="I27" s="161">
        <f t="shared" si="3"/>
        <v>264</v>
      </c>
      <c r="J27" s="161"/>
      <c r="K27" s="161"/>
      <c r="L27" s="148">
        <v>1274600</v>
      </c>
      <c r="M27" s="149"/>
      <c r="N27" s="150">
        <f t="shared" si="11"/>
        <v>1274600</v>
      </c>
      <c r="O27" s="79"/>
    </row>
    <row r="28" spans="1:15" s="71" customFormat="1" ht="17.25" customHeight="1">
      <c r="A28" s="77">
        <v>16</v>
      </c>
      <c r="B28" s="58" t="s">
        <v>57</v>
      </c>
      <c r="C28" s="72">
        <v>3.06</v>
      </c>
      <c r="D28" s="73"/>
      <c r="E28" s="74"/>
      <c r="F28" s="78">
        <f t="shared" si="1"/>
        <v>3.06</v>
      </c>
      <c r="G28" s="159">
        <f t="shared" si="2"/>
        <v>4559400</v>
      </c>
      <c r="H28" s="160" t="s">
        <v>18</v>
      </c>
      <c r="I28" s="161">
        <f t="shared" si="3"/>
        <v>264</v>
      </c>
      <c r="J28" s="161"/>
      <c r="K28" s="161"/>
      <c r="L28" s="148">
        <v>579000</v>
      </c>
      <c r="M28" s="149"/>
      <c r="N28" s="150">
        <f t="shared" si="11"/>
        <v>579000</v>
      </c>
      <c r="O28" s="79"/>
    </row>
    <row r="29" spans="1:15" s="71" customFormat="1" ht="17.25" customHeight="1">
      <c r="A29" s="77">
        <v>17</v>
      </c>
      <c r="B29" s="58" t="s">
        <v>58</v>
      </c>
      <c r="C29" s="59">
        <v>3.06</v>
      </c>
      <c r="D29" s="60"/>
      <c r="E29" s="61"/>
      <c r="F29" s="78">
        <f t="shared" si="1"/>
        <v>3.06</v>
      </c>
      <c r="G29" s="159">
        <f t="shared" si="2"/>
        <v>4559400</v>
      </c>
      <c r="H29" s="160" t="s">
        <v>18</v>
      </c>
      <c r="I29" s="161">
        <f t="shared" si="3"/>
        <v>264</v>
      </c>
      <c r="J29" s="161"/>
      <c r="K29" s="161"/>
      <c r="L29" s="148">
        <v>1274600</v>
      </c>
      <c r="M29" s="149"/>
      <c r="N29" s="150">
        <f t="shared" si="11"/>
        <v>1274600</v>
      </c>
      <c r="O29" s="79"/>
    </row>
    <row r="30" spans="1:15" s="71" customFormat="1" ht="20.25" customHeight="1">
      <c r="A30" s="65"/>
      <c r="B30" s="65" t="s">
        <v>46</v>
      </c>
      <c r="C30" s="66">
        <f>SUM(C24:C29)</f>
        <v>20.959999999999997</v>
      </c>
      <c r="D30" s="66">
        <f t="shared" ref="D30:N30" si="12">SUM(D24:D29)</f>
        <v>0.35</v>
      </c>
      <c r="E30" s="66">
        <f t="shared" si="12"/>
        <v>0.24359999999999996</v>
      </c>
      <c r="F30" s="66">
        <f t="shared" si="12"/>
        <v>21.553599999999999</v>
      </c>
      <c r="G30" s="151">
        <f t="shared" si="12"/>
        <v>32114864</v>
      </c>
      <c r="H30" s="151">
        <f t="shared" si="12"/>
        <v>0</v>
      </c>
      <c r="I30" s="151">
        <f t="shared" si="12"/>
        <v>1584</v>
      </c>
      <c r="J30" s="151">
        <f t="shared" si="12"/>
        <v>0</v>
      </c>
      <c r="K30" s="151">
        <f t="shared" si="12"/>
        <v>0</v>
      </c>
      <c r="L30" s="151">
        <f>SUM(L24:L29)</f>
        <v>7237000</v>
      </c>
      <c r="M30" s="151"/>
      <c r="N30" s="151">
        <f t="shared" si="12"/>
        <v>7237000</v>
      </c>
      <c r="O30" s="63"/>
    </row>
    <row r="31" spans="1:15" s="57" customFormat="1" ht="24" customHeight="1">
      <c r="A31" s="56" t="s">
        <v>22</v>
      </c>
      <c r="B31" s="56" t="s">
        <v>59</v>
      </c>
      <c r="C31" s="68"/>
      <c r="D31" s="68"/>
      <c r="E31" s="68"/>
      <c r="F31" s="68"/>
      <c r="G31" s="158"/>
      <c r="H31" s="158"/>
      <c r="I31" s="158"/>
      <c r="J31" s="158"/>
      <c r="K31" s="158"/>
      <c r="L31" s="158"/>
      <c r="M31" s="158"/>
      <c r="N31" s="158"/>
      <c r="O31" s="56"/>
    </row>
    <row r="32" spans="1:15" s="71" customFormat="1" ht="17.25" customHeight="1">
      <c r="A32" s="77">
        <v>18</v>
      </c>
      <c r="B32" s="58" t="s">
        <v>60</v>
      </c>
      <c r="C32" s="59">
        <v>3</v>
      </c>
      <c r="D32" s="62">
        <v>0.2</v>
      </c>
      <c r="E32" s="61"/>
      <c r="F32" s="78">
        <f t="shared" si="1"/>
        <v>3.2</v>
      </c>
      <c r="G32" s="159">
        <f t="shared" si="2"/>
        <v>4768000</v>
      </c>
      <c r="H32" s="160" t="s">
        <v>18</v>
      </c>
      <c r="I32" s="161">
        <f t="shared" si="3"/>
        <v>264</v>
      </c>
      <c r="J32" s="161"/>
      <c r="K32" s="161"/>
      <c r="L32" s="148">
        <v>368000</v>
      </c>
      <c r="M32" s="149"/>
      <c r="N32" s="150">
        <f>SUM(L32:M32)</f>
        <v>368000</v>
      </c>
      <c r="O32" s="79"/>
    </row>
    <row r="33" spans="1:16" s="71" customFormat="1" ht="17.25" customHeight="1">
      <c r="A33" s="77">
        <v>19</v>
      </c>
      <c r="B33" s="58" t="s">
        <v>61</v>
      </c>
      <c r="C33" s="59">
        <v>2.86</v>
      </c>
      <c r="D33" s="60"/>
      <c r="E33" s="61"/>
      <c r="F33" s="78">
        <f t="shared" si="1"/>
        <v>2.86</v>
      </c>
      <c r="G33" s="159">
        <f t="shared" si="2"/>
        <v>4261400</v>
      </c>
      <c r="H33" s="160" t="s">
        <v>18</v>
      </c>
      <c r="I33" s="161">
        <f t="shared" si="3"/>
        <v>264</v>
      </c>
      <c r="J33" s="161"/>
      <c r="K33" s="161"/>
      <c r="L33" s="148">
        <f>368000+26685337</f>
        <v>27053337</v>
      </c>
      <c r="M33" s="149"/>
      <c r="N33" s="150">
        <f t="shared" ref="N33:N37" si="13">SUM(L33:M33)</f>
        <v>27053337</v>
      </c>
      <c r="O33" s="79"/>
    </row>
    <row r="34" spans="1:16" s="71" customFormat="1" ht="17.25" customHeight="1">
      <c r="A34" s="77">
        <v>20</v>
      </c>
      <c r="B34" s="58" t="s">
        <v>62</v>
      </c>
      <c r="C34" s="59">
        <v>2.86</v>
      </c>
      <c r="D34" s="60"/>
      <c r="E34" s="61"/>
      <c r="F34" s="78">
        <f t="shared" si="1"/>
        <v>2.86</v>
      </c>
      <c r="G34" s="159">
        <f t="shared" si="2"/>
        <v>4261400</v>
      </c>
      <c r="H34" s="160" t="s">
        <v>18</v>
      </c>
      <c r="I34" s="161">
        <f t="shared" si="3"/>
        <v>264</v>
      </c>
      <c r="J34" s="161"/>
      <c r="K34" s="161"/>
      <c r="L34" s="148">
        <v>368000</v>
      </c>
      <c r="M34" s="149"/>
      <c r="N34" s="150">
        <f t="shared" si="13"/>
        <v>368000</v>
      </c>
      <c r="O34" s="79"/>
    </row>
    <row r="35" spans="1:16" s="71" customFormat="1" ht="17.25" customHeight="1">
      <c r="A35" s="77">
        <v>21</v>
      </c>
      <c r="B35" s="58" t="s">
        <v>63</v>
      </c>
      <c r="C35" s="59">
        <v>4.0599999999999996</v>
      </c>
      <c r="D35" s="60"/>
      <c r="E35" s="61"/>
      <c r="F35" s="78">
        <f t="shared" si="1"/>
        <v>4.0599999999999996</v>
      </c>
      <c r="G35" s="159">
        <f t="shared" si="2"/>
        <v>6049399.9999999991</v>
      </c>
      <c r="H35" s="160" t="s">
        <v>18</v>
      </c>
      <c r="I35" s="161">
        <f t="shared" si="3"/>
        <v>264</v>
      </c>
      <c r="J35" s="161"/>
      <c r="K35" s="161"/>
      <c r="L35" s="148">
        <v>368000</v>
      </c>
      <c r="M35" s="149"/>
      <c r="N35" s="150">
        <f t="shared" si="13"/>
        <v>368000</v>
      </c>
      <c r="O35" s="79"/>
    </row>
    <row r="36" spans="1:16" s="71" customFormat="1" ht="17.25" customHeight="1">
      <c r="A36" s="77">
        <v>22</v>
      </c>
      <c r="B36" s="58" t="s">
        <v>64</v>
      </c>
      <c r="C36" s="59">
        <v>1.86</v>
      </c>
      <c r="D36" s="59"/>
      <c r="E36" s="61"/>
      <c r="F36" s="78">
        <f t="shared" si="1"/>
        <v>1.86</v>
      </c>
      <c r="G36" s="159">
        <f t="shared" si="2"/>
        <v>2771400</v>
      </c>
      <c r="H36" s="160" t="s">
        <v>18</v>
      </c>
      <c r="I36" s="161">
        <f t="shared" si="3"/>
        <v>264</v>
      </c>
      <c r="J36" s="161"/>
      <c r="K36" s="161"/>
      <c r="L36" s="148">
        <v>368000</v>
      </c>
      <c r="M36" s="149"/>
      <c r="N36" s="150">
        <f t="shared" si="13"/>
        <v>368000</v>
      </c>
      <c r="O36" s="79"/>
    </row>
    <row r="37" spans="1:16" s="175" customFormat="1" ht="17.25" customHeight="1">
      <c r="A37" s="163">
        <v>23</v>
      </c>
      <c r="B37" s="164" t="s">
        <v>169</v>
      </c>
      <c r="C37" s="165">
        <v>4.0860000000000003</v>
      </c>
      <c r="D37" s="165"/>
      <c r="E37" s="166"/>
      <c r="F37" s="167">
        <f t="shared" ref="F37" si="14">SUM(C37:E37)</f>
        <v>4.0860000000000003</v>
      </c>
      <c r="G37" s="168">
        <f t="shared" si="2"/>
        <v>6088140</v>
      </c>
      <c r="H37" s="169" t="s">
        <v>18</v>
      </c>
      <c r="I37" s="170">
        <f>22*11</f>
        <v>242</v>
      </c>
      <c r="J37" s="170"/>
      <c r="K37" s="170"/>
      <c r="L37" s="171">
        <v>368000</v>
      </c>
      <c r="M37" s="172">
        <v>447000</v>
      </c>
      <c r="N37" s="173">
        <f t="shared" si="13"/>
        <v>815000</v>
      </c>
      <c r="O37" s="174"/>
      <c r="P37" s="176" t="s">
        <v>172</v>
      </c>
    </row>
    <row r="38" spans="1:16" s="71" customFormat="1" ht="17.25" customHeight="1">
      <c r="A38" s="77"/>
      <c r="B38" s="65" t="s">
        <v>46</v>
      </c>
      <c r="C38" s="66">
        <f>SUM(C32:C37)</f>
        <v>18.725999999999999</v>
      </c>
      <c r="D38" s="66">
        <f t="shared" ref="D38:N38" si="15">SUM(D32:D37)</f>
        <v>0.2</v>
      </c>
      <c r="E38" s="66">
        <f t="shared" si="15"/>
        <v>0</v>
      </c>
      <c r="F38" s="66">
        <f t="shared" si="15"/>
        <v>18.926000000000002</v>
      </c>
      <c r="G38" s="151">
        <f t="shared" si="15"/>
        <v>28199740</v>
      </c>
      <c r="H38" s="151">
        <f t="shared" si="15"/>
        <v>0</v>
      </c>
      <c r="I38" s="151">
        <f t="shared" si="15"/>
        <v>1562</v>
      </c>
      <c r="J38" s="66"/>
      <c r="K38" s="66"/>
      <c r="L38" s="151">
        <f t="shared" si="15"/>
        <v>28893337</v>
      </c>
      <c r="M38" s="151">
        <f t="shared" si="15"/>
        <v>447000</v>
      </c>
      <c r="N38" s="151">
        <f t="shared" si="15"/>
        <v>29340337</v>
      </c>
      <c r="O38" s="63"/>
    </row>
    <row r="39" spans="1:16" s="57" customFormat="1" ht="17.25" customHeight="1">
      <c r="A39" s="56" t="s">
        <v>23</v>
      </c>
      <c r="B39" s="56" t="s">
        <v>65</v>
      </c>
      <c r="C39" s="68"/>
      <c r="D39" s="68"/>
      <c r="E39" s="68"/>
      <c r="F39" s="68"/>
      <c r="G39" s="158"/>
      <c r="H39" s="158"/>
      <c r="I39" s="158"/>
      <c r="J39" s="68"/>
      <c r="K39" s="68"/>
      <c r="L39" s="68"/>
      <c r="M39" s="68"/>
      <c r="N39" s="68"/>
      <c r="O39" s="56"/>
    </row>
    <row r="40" spans="1:16" s="71" customFormat="1" ht="17.25" customHeight="1">
      <c r="A40" s="77">
        <v>23</v>
      </c>
      <c r="B40" s="58" t="s">
        <v>66</v>
      </c>
      <c r="C40" s="59">
        <v>4.32</v>
      </c>
      <c r="D40" s="60">
        <v>0.2</v>
      </c>
      <c r="E40" s="61"/>
      <c r="F40" s="78">
        <f t="shared" si="1"/>
        <v>4.5200000000000005</v>
      </c>
      <c r="G40" s="159">
        <f t="shared" si="2"/>
        <v>6734800.0000000009</v>
      </c>
      <c r="H40" s="160" t="s">
        <v>18</v>
      </c>
      <c r="I40" s="161">
        <f t="shared" si="3"/>
        <v>264</v>
      </c>
      <c r="J40" s="161"/>
      <c r="K40" s="161"/>
      <c r="L40" s="148">
        <v>1406478</v>
      </c>
      <c r="M40" s="149"/>
      <c r="N40" s="150">
        <f>L40</f>
        <v>1406478</v>
      </c>
      <c r="O40" s="79"/>
    </row>
    <row r="41" spans="1:16" s="71" customFormat="1" ht="17.25" customHeight="1">
      <c r="A41" s="77">
        <v>24</v>
      </c>
      <c r="B41" s="58" t="s">
        <v>67</v>
      </c>
      <c r="C41" s="59">
        <v>2.86</v>
      </c>
      <c r="D41" s="60">
        <v>0.15</v>
      </c>
      <c r="E41" s="61"/>
      <c r="F41" s="78">
        <f t="shared" si="1"/>
        <v>3.01</v>
      </c>
      <c r="G41" s="159">
        <f t="shared" si="2"/>
        <v>4484900</v>
      </c>
      <c r="H41" s="160" t="s">
        <v>18</v>
      </c>
      <c r="I41" s="161">
        <f t="shared" si="3"/>
        <v>264</v>
      </c>
      <c r="J41" s="161"/>
      <c r="K41" s="161"/>
      <c r="L41" s="148">
        <v>1406478</v>
      </c>
      <c r="M41" s="149"/>
      <c r="N41" s="150">
        <f t="shared" ref="N41:N43" si="16">L41</f>
        <v>1406478</v>
      </c>
      <c r="O41" s="79"/>
    </row>
    <row r="42" spans="1:16" s="71" customFormat="1" ht="17.25" customHeight="1">
      <c r="A42" s="77">
        <v>25</v>
      </c>
      <c r="B42" s="58" t="s">
        <v>44</v>
      </c>
      <c r="C42" s="59">
        <v>3.26</v>
      </c>
      <c r="D42" s="60"/>
      <c r="E42" s="61"/>
      <c r="F42" s="78">
        <f t="shared" si="1"/>
        <v>3.26</v>
      </c>
      <c r="G42" s="159">
        <f t="shared" si="2"/>
        <v>4857400</v>
      </c>
      <c r="H42" s="160" t="s">
        <v>18</v>
      </c>
      <c r="I42" s="161">
        <f t="shared" si="3"/>
        <v>264</v>
      </c>
      <c r="J42" s="161"/>
      <c r="K42" s="161"/>
      <c r="L42" s="148">
        <v>1406478</v>
      </c>
      <c r="M42" s="149"/>
      <c r="N42" s="150">
        <f t="shared" si="16"/>
        <v>1406478</v>
      </c>
      <c r="O42" s="79"/>
    </row>
    <row r="43" spans="1:16" s="71" customFormat="1" ht="17.25" customHeight="1">
      <c r="A43" s="77">
        <v>26</v>
      </c>
      <c r="B43" s="58" t="s">
        <v>68</v>
      </c>
      <c r="C43" s="59">
        <v>4.0599999999999996</v>
      </c>
      <c r="D43" s="60"/>
      <c r="E43" s="61">
        <v>0.52779999999999994</v>
      </c>
      <c r="F43" s="78">
        <f t="shared" si="1"/>
        <v>4.5877999999999997</v>
      </c>
      <c r="G43" s="159">
        <f t="shared" si="2"/>
        <v>6835821.9999999991</v>
      </c>
      <c r="H43" s="160" t="s">
        <v>18</v>
      </c>
      <c r="I43" s="161">
        <f t="shared" si="3"/>
        <v>264</v>
      </c>
      <c r="J43" s="161"/>
      <c r="K43" s="161"/>
      <c r="L43" s="148">
        <v>1406478</v>
      </c>
      <c r="M43" s="149"/>
      <c r="N43" s="150">
        <f t="shared" si="16"/>
        <v>1406478</v>
      </c>
      <c r="O43" s="79"/>
    </row>
    <row r="44" spans="1:16" s="71" customFormat="1" ht="17.25" customHeight="1">
      <c r="A44" s="77"/>
      <c r="B44" s="65" t="s">
        <v>46</v>
      </c>
      <c r="C44" s="66">
        <v>14.5</v>
      </c>
      <c r="D44" s="66">
        <v>15.5</v>
      </c>
      <c r="E44" s="66">
        <v>16.5</v>
      </c>
      <c r="F44" s="66">
        <v>17.5</v>
      </c>
      <c r="G44" s="151">
        <v>18.5</v>
      </c>
      <c r="H44" s="151">
        <v>19.5</v>
      </c>
      <c r="I44" s="151">
        <v>20.5</v>
      </c>
      <c r="J44" s="66"/>
      <c r="K44" s="66"/>
      <c r="L44" s="151">
        <f>SUM(L40:L43)</f>
        <v>5625912</v>
      </c>
      <c r="M44" s="151">
        <f t="shared" ref="M44:N44" si="17">SUM(M40:M43)</f>
        <v>0</v>
      </c>
      <c r="N44" s="151">
        <f t="shared" si="17"/>
        <v>5625912</v>
      </c>
      <c r="O44" s="67"/>
    </row>
    <row r="45" spans="1:16" s="57" customFormat="1" ht="17.25" customHeight="1">
      <c r="A45" s="56" t="s">
        <v>24</v>
      </c>
      <c r="B45" s="56" t="s">
        <v>69</v>
      </c>
      <c r="C45" s="68"/>
      <c r="D45" s="68"/>
      <c r="E45" s="68"/>
      <c r="F45" s="68"/>
      <c r="G45" s="158"/>
      <c r="H45" s="158"/>
      <c r="I45" s="158"/>
      <c r="J45" s="68"/>
      <c r="K45" s="68"/>
      <c r="L45" s="68"/>
      <c r="M45" s="68"/>
      <c r="N45" s="68"/>
      <c r="O45" s="155"/>
    </row>
    <row r="46" spans="1:16" s="71" customFormat="1" ht="17.25" customHeight="1">
      <c r="A46" s="77">
        <v>27</v>
      </c>
      <c r="B46" s="69" t="s">
        <v>70</v>
      </c>
      <c r="C46" s="59">
        <v>2.2599999999999998</v>
      </c>
      <c r="D46" s="60">
        <v>0.2</v>
      </c>
      <c r="E46" s="61"/>
      <c r="F46" s="78">
        <f t="shared" si="1"/>
        <v>2.46</v>
      </c>
      <c r="G46" s="159">
        <f t="shared" si="2"/>
        <v>3665400</v>
      </c>
      <c r="H46" s="160" t="s">
        <v>18</v>
      </c>
      <c r="I46" s="161">
        <f t="shared" si="3"/>
        <v>264</v>
      </c>
      <c r="J46" s="161"/>
      <c r="K46" s="161"/>
      <c r="L46" s="148">
        <v>2340000</v>
      </c>
      <c r="M46" s="149"/>
      <c r="N46" s="150">
        <f>L46+M46</f>
        <v>2340000</v>
      </c>
      <c r="O46" s="152"/>
    </row>
    <row r="47" spans="1:16" s="71" customFormat="1" ht="17.25" customHeight="1">
      <c r="A47" s="77">
        <v>28</v>
      </c>
      <c r="B47" s="58" t="s">
        <v>71</v>
      </c>
      <c r="C47" s="59">
        <v>2.86</v>
      </c>
      <c r="D47" s="60"/>
      <c r="E47" s="61"/>
      <c r="F47" s="78">
        <f t="shared" si="1"/>
        <v>2.86</v>
      </c>
      <c r="G47" s="159">
        <f t="shared" si="2"/>
        <v>4261400</v>
      </c>
      <c r="H47" s="160" t="s">
        <v>18</v>
      </c>
      <c r="I47" s="161">
        <f t="shared" si="3"/>
        <v>264</v>
      </c>
      <c r="J47" s="161"/>
      <c r="K47" s="161"/>
      <c r="L47" s="148">
        <v>340000</v>
      </c>
      <c r="M47" s="149"/>
      <c r="N47" s="150">
        <f t="shared" ref="N47:N52" si="18">L47+M47</f>
        <v>340000</v>
      </c>
      <c r="O47" s="152"/>
    </row>
    <row r="48" spans="1:16" s="71" customFormat="1" ht="17.25" customHeight="1">
      <c r="A48" s="77">
        <v>29</v>
      </c>
      <c r="B48" s="69" t="s">
        <v>72</v>
      </c>
      <c r="C48" s="59">
        <v>2.86</v>
      </c>
      <c r="D48" s="60"/>
      <c r="E48" s="61"/>
      <c r="F48" s="78">
        <f t="shared" si="1"/>
        <v>2.86</v>
      </c>
      <c r="G48" s="159">
        <f t="shared" si="2"/>
        <v>4261400</v>
      </c>
      <c r="H48" s="160" t="s">
        <v>18</v>
      </c>
      <c r="I48" s="161">
        <f t="shared" si="3"/>
        <v>264</v>
      </c>
      <c r="J48" s="161"/>
      <c r="K48" s="161"/>
      <c r="L48" s="148">
        <v>340000</v>
      </c>
      <c r="M48" s="149"/>
      <c r="N48" s="150">
        <f t="shared" si="18"/>
        <v>340000</v>
      </c>
      <c r="O48" s="152"/>
    </row>
    <row r="49" spans="1:15" s="71" customFormat="1" ht="17.25" customHeight="1">
      <c r="A49" s="77">
        <v>30</v>
      </c>
      <c r="B49" s="69" t="s">
        <v>73</v>
      </c>
      <c r="C49" s="59">
        <v>3.06</v>
      </c>
      <c r="D49" s="60"/>
      <c r="E49" s="61"/>
      <c r="F49" s="78">
        <f t="shared" si="1"/>
        <v>3.06</v>
      </c>
      <c r="G49" s="159">
        <f t="shared" si="2"/>
        <v>4559400</v>
      </c>
      <c r="H49" s="160" t="s">
        <v>18</v>
      </c>
      <c r="I49" s="161">
        <f t="shared" si="3"/>
        <v>264</v>
      </c>
      <c r="J49" s="161"/>
      <c r="K49" s="161"/>
      <c r="L49" s="148">
        <v>340000</v>
      </c>
      <c r="M49" s="149">
        <v>447000</v>
      </c>
      <c r="N49" s="150">
        <f t="shared" si="18"/>
        <v>787000</v>
      </c>
      <c r="O49" s="152"/>
    </row>
    <row r="50" spans="1:15" s="71" customFormat="1" ht="17.25" customHeight="1">
      <c r="A50" s="77">
        <v>31</v>
      </c>
      <c r="B50" s="69" t="s">
        <v>74</v>
      </c>
      <c r="C50" s="59">
        <v>2.06</v>
      </c>
      <c r="D50" s="61"/>
      <c r="E50" s="61"/>
      <c r="F50" s="78">
        <f t="shared" si="1"/>
        <v>2.06</v>
      </c>
      <c r="G50" s="159">
        <f t="shared" si="2"/>
        <v>3069400</v>
      </c>
      <c r="H50" s="160" t="s">
        <v>18</v>
      </c>
      <c r="I50" s="161">
        <f t="shared" si="3"/>
        <v>264</v>
      </c>
      <c r="J50" s="161"/>
      <c r="K50" s="161"/>
      <c r="L50" s="148">
        <v>340000</v>
      </c>
      <c r="M50" s="149"/>
      <c r="N50" s="150">
        <f t="shared" si="18"/>
        <v>340000</v>
      </c>
      <c r="O50" s="152"/>
    </row>
    <row r="51" spans="1:15" s="71" customFormat="1" ht="17.25" customHeight="1">
      <c r="A51" s="77">
        <v>32</v>
      </c>
      <c r="B51" s="58" t="s">
        <v>75</v>
      </c>
      <c r="C51" s="59">
        <v>2.2599999999999998</v>
      </c>
      <c r="D51" s="60"/>
      <c r="E51" s="61"/>
      <c r="F51" s="78">
        <f t="shared" si="1"/>
        <v>2.2599999999999998</v>
      </c>
      <c r="G51" s="159">
        <f t="shared" si="2"/>
        <v>3367399.9999999995</v>
      </c>
      <c r="H51" s="160" t="s">
        <v>18</v>
      </c>
      <c r="I51" s="161">
        <f t="shared" si="3"/>
        <v>264</v>
      </c>
      <c r="J51" s="161"/>
      <c r="K51" s="161"/>
      <c r="L51" s="148">
        <v>340000</v>
      </c>
      <c r="M51" s="149"/>
      <c r="N51" s="150">
        <f t="shared" si="18"/>
        <v>340000</v>
      </c>
      <c r="O51" s="152"/>
    </row>
    <row r="52" spans="1:15" s="71" customFormat="1" ht="17.25" customHeight="1">
      <c r="A52" s="77"/>
      <c r="B52" s="65" t="s">
        <v>46</v>
      </c>
      <c r="C52" s="66">
        <v>15.36</v>
      </c>
      <c r="D52" s="66">
        <v>16.36</v>
      </c>
      <c r="E52" s="66">
        <v>17.36</v>
      </c>
      <c r="F52" s="66">
        <v>18.36</v>
      </c>
      <c r="G52" s="151">
        <v>19.36</v>
      </c>
      <c r="H52" s="151">
        <v>20.36</v>
      </c>
      <c r="I52" s="151">
        <v>21.36</v>
      </c>
      <c r="J52" s="151"/>
      <c r="K52" s="151"/>
      <c r="L52" s="151">
        <f>SUM(L46:L51)</f>
        <v>4040000</v>
      </c>
      <c r="M52" s="151">
        <f t="shared" ref="M52:N52" si="19">SUM(M46:M51)</f>
        <v>447000</v>
      </c>
      <c r="N52" s="151">
        <f t="shared" si="19"/>
        <v>4487000</v>
      </c>
      <c r="O52" s="153"/>
    </row>
    <row r="53" spans="1:15" s="57" customFormat="1" ht="17.25" customHeight="1">
      <c r="A53" s="56" t="s">
        <v>25</v>
      </c>
      <c r="B53" s="56" t="s">
        <v>76</v>
      </c>
      <c r="C53" s="68"/>
      <c r="D53" s="68"/>
      <c r="E53" s="68"/>
      <c r="F53" s="68"/>
      <c r="G53" s="158"/>
      <c r="H53" s="158"/>
      <c r="I53" s="158"/>
      <c r="J53" s="158"/>
      <c r="K53" s="158"/>
      <c r="L53" s="158"/>
      <c r="M53" s="158"/>
      <c r="N53" s="158"/>
      <c r="O53" s="56"/>
    </row>
    <row r="54" spans="1:15" s="71" customFormat="1" ht="17.25" customHeight="1">
      <c r="A54" s="77">
        <v>33</v>
      </c>
      <c r="B54" s="58" t="s">
        <v>77</v>
      </c>
      <c r="C54" s="59">
        <v>3.66</v>
      </c>
      <c r="D54" s="61">
        <v>0.2</v>
      </c>
      <c r="E54" s="61"/>
      <c r="F54" s="78">
        <f t="shared" si="1"/>
        <v>3.8600000000000003</v>
      </c>
      <c r="G54" s="159">
        <f t="shared" si="2"/>
        <v>5751400.0000000009</v>
      </c>
      <c r="H54" s="160" t="s">
        <v>18</v>
      </c>
      <c r="I54" s="161">
        <f t="shared" si="3"/>
        <v>264</v>
      </c>
      <c r="J54" s="161"/>
      <c r="K54" s="161"/>
      <c r="L54" s="148">
        <f>2134000+199900</f>
        <v>2333900</v>
      </c>
      <c r="M54" s="149">
        <v>447000</v>
      </c>
      <c r="N54" s="150">
        <f>L54+M54</f>
        <v>2780900</v>
      </c>
      <c r="O54" s="79"/>
    </row>
    <row r="55" spans="1:15" s="71" customFormat="1" ht="17.25" customHeight="1">
      <c r="A55" s="77">
        <v>34</v>
      </c>
      <c r="B55" s="58" t="s">
        <v>78</v>
      </c>
      <c r="C55" s="59">
        <v>4.0599999999999996</v>
      </c>
      <c r="D55" s="60">
        <v>0.15</v>
      </c>
      <c r="E55" s="61">
        <v>0.24359999999999996</v>
      </c>
      <c r="F55" s="78">
        <f t="shared" si="1"/>
        <v>4.4535999999999998</v>
      </c>
      <c r="G55" s="159">
        <f t="shared" si="2"/>
        <v>6635864</v>
      </c>
      <c r="H55" s="160" t="s">
        <v>18</v>
      </c>
      <c r="I55" s="161">
        <f t="shared" si="3"/>
        <v>264</v>
      </c>
      <c r="J55" s="161"/>
      <c r="K55" s="161"/>
      <c r="L55" s="148">
        <f>1134000+199900</f>
        <v>1333900</v>
      </c>
      <c r="M55" s="149"/>
      <c r="N55" s="150">
        <f t="shared" ref="N55:N59" si="20">L55+M55</f>
        <v>1333900</v>
      </c>
      <c r="O55" s="79"/>
    </row>
    <row r="56" spans="1:15" s="71" customFormat="1" ht="17.25" customHeight="1">
      <c r="A56" s="77">
        <v>35</v>
      </c>
      <c r="B56" s="58" t="s">
        <v>79</v>
      </c>
      <c r="C56" s="59">
        <v>4.0599999999999996</v>
      </c>
      <c r="D56" s="60"/>
      <c r="E56" s="61"/>
      <c r="F56" s="78">
        <f t="shared" si="1"/>
        <v>4.0599999999999996</v>
      </c>
      <c r="G56" s="159">
        <f t="shared" si="2"/>
        <v>6049399.9999999991</v>
      </c>
      <c r="H56" s="160" t="s">
        <v>18</v>
      </c>
      <c r="I56" s="161">
        <f t="shared" si="3"/>
        <v>264</v>
      </c>
      <c r="J56" s="161"/>
      <c r="K56" s="161"/>
      <c r="L56" s="148">
        <f>1134000+199900</f>
        <v>1333900</v>
      </c>
      <c r="M56" s="149"/>
      <c r="N56" s="150">
        <f t="shared" si="20"/>
        <v>1333900</v>
      </c>
      <c r="O56" s="79"/>
    </row>
    <row r="57" spans="1:15" s="71" customFormat="1" ht="17.25" customHeight="1">
      <c r="A57" s="77">
        <v>36</v>
      </c>
      <c r="B57" s="58" t="s">
        <v>80</v>
      </c>
      <c r="C57" s="59">
        <v>4.0599999999999996</v>
      </c>
      <c r="D57" s="60"/>
      <c r="E57" s="61">
        <v>0.24359999999999996</v>
      </c>
      <c r="F57" s="78">
        <f t="shared" si="1"/>
        <v>4.3035999999999994</v>
      </c>
      <c r="G57" s="159">
        <f t="shared" si="2"/>
        <v>6412363.9999999991</v>
      </c>
      <c r="H57" s="160" t="s">
        <v>18</v>
      </c>
      <c r="I57" s="161">
        <f t="shared" si="3"/>
        <v>264</v>
      </c>
      <c r="J57" s="161"/>
      <c r="K57" s="161"/>
      <c r="L57" s="148">
        <f>1134000+199900</f>
        <v>1333900</v>
      </c>
      <c r="M57" s="149"/>
      <c r="N57" s="150">
        <f t="shared" si="20"/>
        <v>1333900</v>
      </c>
      <c r="O57" s="79"/>
    </row>
    <row r="58" spans="1:15" s="71" customFormat="1" ht="17.25" customHeight="1">
      <c r="A58" s="77">
        <v>37</v>
      </c>
      <c r="B58" s="58" t="s">
        <v>81</v>
      </c>
      <c r="C58" s="59">
        <v>3</v>
      </c>
      <c r="D58" s="61"/>
      <c r="E58" s="61"/>
      <c r="F58" s="78">
        <f t="shared" si="1"/>
        <v>3</v>
      </c>
      <c r="G58" s="159">
        <f t="shared" si="2"/>
        <v>4470000</v>
      </c>
      <c r="H58" s="160" t="s">
        <v>18</v>
      </c>
      <c r="I58" s="161">
        <f t="shared" si="3"/>
        <v>264</v>
      </c>
      <c r="J58" s="161"/>
      <c r="K58" s="161"/>
      <c r="L58" s="148"/>
      <c r="M58" s="149"/>
      <c r="N58" s="150">
        <f t="shared" si="20"/>
        <v>0</v>
      </c>
      <c r="O58" s="79"/>
    </row>
    <row r="59" spans="1:15" s="71" customFormat="1" ht="17.25" customHeight="1">
      <c r="A59" s="77">
        <v>38</v>
      </c>
      <c r="B59" s="58" t="s">
        <v>82</v>
      </c>
      <c r="C59" s="59">
        <v>4.0599999999999996</v>
      </c>
      <c r="D59" s="60"/>
      <c r="E59" s="61"/>
      <c r="F59" s="78">
        <f t="shared" si="1"/>
        <v>4.0599999999999996</v>
      </c>
      <c r="G59" s="159">
        <f t="shared" si="2"/>
        <v>6049399.9999999991</v>
      </c>
      <c r="H59" s="160" t="s">
        <v>18</v>
      </c>
      <c r="I59" s="161">
        <f t="shared" si="3"/>
        <v>264</v>
      </c>
      <c r="J59" s="161"/>
      <c r="K59" s="161"/>
      <c r="L59" s="148">
        <f>1134000+199900</f>
        <v>1333900</v>
      </c>
      <c r="M59" s="149"/>
      <c r="N59" s="150">
        <f t="shared" si="20"/>
        <v>1333900</v>
      </c>
      <c r="O59" s="79"/>
    </row>
    <row r="60" spans="1:15" s="71" customFormat="1" ht="17.25" customHeight="1">
      <c r="A60" s="77"/>
      <c r="B60" s="65" t="s">
        <v>46</v>
      </c>
      <c r="C60" s="66">
        <v>22.9</v>
      </c>
      <c r="D60" s="66">
        <v>23.9</v>
      </c>
      <c r="E60" s="66">
        <v>24.9</v>
      </c>
      <c r="F60" s="66">
        <v>25.9</v>
      </c>
      <c r="G60" s="151">
        <v>26.9</v>
      </c>
      <c r="H60" s="151">
        <v>27.9</v>
      </c>
      <c r="I60" s="151">
        <v>28.9</v>
      </c>
      <c r="J60" s="151"/>
      <c r="K60" s="151"/>
      <c r="L60" s="151">
        <f>SUM(L54:L59)</f>
        <v>7669500</v>
      </c>
      <c r="M60" s="151">
        <f t="shared" ref="M60:N60" si="21">SUM(M54:M59)</f>
        <v>447000</v>
      </c>
      <c r="N60" s="151">
        <f t="shared" si="21"/>
        <v>8116500</v>
      </c>
      <c r="O60" s="63"/>
    </row>
    <row r="61" spans="1:15" s="57" customFormat="1" ht="17.25" customHeight="1">
      <c r="A61" s="56" t="s">
        <v>26</v>
      </c>
      <c r="B61" s="56" t="s">
        <v>83</v>
      </c>
      <c r="C61" s="68"/>
      <c r="D61" s="68"/>
      <c r="E61" s="68"/>
      <c r="F61" s="68"/>
      <c r="G61" s="158"/>
      <c r="H61" s="158"/>
      <c r="I61" s="158"/>
      <c r="J61" s="158"/>
      <c r="K61" s="158"/>
      <c r="L61" s="158"/>
      <c r="M61" s="158"/>
      <c r="N61" s="158"/>
      <c r="O61" s="156"/>
    </row>
    <row r="62" spans="1:15" s="71" customFormat="1" ht="17.25" customHeight="1">
      <c r="A62" s="77">
        <v>39</v>
      </c>
      <c r="B62" s="75" t="s">
        <v>84</v>
      </c>
      <c r="C62" s="59">
        <v>4.0599999999999996</v>
      </c>
      <c r="D62" s="60">
        <v>0.2</v>
      </c>
      <c r="E62" s="61">
        <v>0.52779999999999994</v>
      </c>
      <c r="F62" s="78">
        <f t="shared" si="1"/>
        <v>4.7877999999999998</v>
      </c>
      <c r="G62" s="159">
        <f t="shared" si="2"/>
        <v>7133822</v>
      </c>
      <c r="H62" s="160" t="s">
        <v>18</v>
      </c>
      <c r="I62" s="161">
        <f t="shared" si="3"/>
        <v>264</v>
      </c>
      <c r="J62" s="161"/>
      <c r="K62" s="161"/>
      <c r="L62" s="148">
        <v>901780</v>
      </c>
      <c r="M62" s="149"/>
      <c r="N62" s="150">
        <f>L62</f>
        <v>901780</v>
      </c>
      <c r="O62" s="152"/>
    </row>
    <row r="63" spans="1:15" s="71" customFormat="1" ht="17.25" customHeight="1">
      <c r="A63" s="77">
        <v>40</v>
      </c>
      <c r="B63" s="75" t="s">
        <v>85</v>
      </c>
      <c r="C63" s="59">
        <v>4.0599999999999996</v>
      </c>
      <c r="D63" s="60"/>
      <c r="E63" s="61"/>
      <c r="F63" s="78">
        <f t="shared" si="1"/>
        <v>4.0599999999999996</v>
      </c>
      <c r="G63" s="159">
        <f t="shared" si="2"/>
        <v>6049399.9999999991</v>
      </c>
      <c r="H63" s="160" t="s">
        <v>18</v>
      </c>
      <c r="I63" s="161">
        <f t="shared" si="3"/>
        <v>264</v>
      </c>
      <c r="J63" s="161"/>
      <c r="K63" s="161"/>
      <c r="L63" s="148">
        <v>901780</v>
      </c>
      <c r="M63" s="149"/>
      <c r="N63" s="150">
        <f t="shared" ref="N63:N67" si="22">L63</f>
        <v>901780</v>
      </c>
      <c r="O63" s="152"/>
    </row>
    <row r="64" spans="1:15" s="71" customFormat="1" ht="17.25" customHeight="1">
      <c r="A64" s="77">
        <v>41</v>
      </c>
      <c r="B64" s="58" t="s">
        <v>86</v>
      </c>
      <c r="C64" s="59">
        <v>4.0599999999999996</v>
      </c>
      <c r="D64" s="60"/>
      <c r="E64" s="61"/>
      <c r="F64" s="78">
        <f t="shared" si="1"/>
        <v>4.0599999999999996</v>
      </c>
      <c r="G64" s="159">
        <f t="shared" si="2"/>
        <v>6049399.9999999991</v>
      </c>
      <c r="H64" s="160" t="s">
        <v>18</v>
      </c>
      <c r="I64" s="161">
        <f t="shared" si="3"/>
        <v>264</v>
      </c>
      <c r="J64" s="161"/>
      <c r="K64" s="161"/>
      <c r="L64" s="148">
        <v>901780</v>
      </c>
      <c r="M64" s="149"/>
      <c r="N64" s="150">
        <f t="shared" si="22"/>
        <v>901780</v>
      </c>
      <c r="O64" s="157"/>
    </row>
    <row r="65" spans="1:15" s="71" customFormat="1" ht="17.25" customHeight="1">
      <c r="A65" s="77">
        <v>42</v>
      </c>
      <c r="B65" s="76" t="s">
        <v>87</v>
      </c>
      <c r="C65" s="59">
        <v>4.0599999999999996</v>
      </c>
      <c r="D65" s="60"/>
      <c r="E65" s="61">
        <v>0.44659999999999994</v>
      </c>
      <c r="F65" s="78">
        <f t="shared" si="1"/>
        <v>4.5065999999999997</v>
      </c>
      <c r="G65" s="159">
        <f t="shared" si="2"/>
        <v>6714834</v>
      </c>
      <c r="H65" s="160" t="s">
        <v>18</v>
      </c>
      <c r="I65" s="161">
        <f t="shared" si="3"/>
        <v>264</v>
      </c>
      <c r="J65" s="161"/>
      <c r="K65" s="161"/>
      <c r="L65" s="148">
        <v>901780</v>
      </c>
      <c r="M65" s="149"/>
      <c r="N65" s="150">
        <f t="shared" si="22"/>
        <v>901780</v>
      </c>
      <c r="O65" s="152"/>
    </row>
    <row r="66" spans="1:15" s="71" customFormat="1" ht="17.25" customHeight="1">
      <c r="A66" s="77">
        <v>43</v>
      </c>
      <c r="B66" s="75" t="s">
        <v>88</v>
      </c>
      <c r="C66" s="59">
        <v>2.86</v>
      </c>
      <c r="D66" s="60"/>
      <c r="E66" s="61"/>
      <c r="F66" s="78">
        <f t="shared" si="1"/>
        <v>2.86</v>
      </c>
      <c r="G66" s="159">
        <f t="shared" si="2"/>
        <v>4261400</v>
      </c>
      <c r="H66" s="160" t="s">
        <v>18</v>
      </c>
      <c r="I66" s="161">
        <f t="shared" si="3"/>
        <v>264</v>
      </c>
      <c r="J66" s="161"/>
      <c r="K66" s="161"/>
      <c r="L66" s="148">
        <v>901780</v>
      </c>
      <c r="M66" s="149"/>
      <c r="N66" s="150">
        <f t="shared" si="22"/>
        <v>901780</v>
      </c>
      <c r="O66" s="152"/>
    </row>
    <row r="67" spans="1:15" s="71" customFormat="1" ht="17.25" customHeight="1">
      <c r="A67" s="77"/>
      <c r="B67" s="65" t="s">
        <v>46</v>
      </c>
      <c r="C67" s="70">
        <v>19.099999999999998</v>
      </c>
      <c r="D67" s="70">
        <v>20.100000000000001</v>
      </c>
      <c r="E67" s="70">
        <v>21.1</v>
      </c>
      <c r="F67" s="70">
        <v>22.1</v>
      </c>
      <c r="G67" s="151">
        <v>23.1</v>
      </c>
      <c r="H67" s="151">
        <v>24.1</v>
      </c>
      <c r="I67" s="151">
        <v>25.1</v>
      </c>
      <c r="J67" s="151"/>
      <c r="K67" s="151"/>
      <c r="L67" s="151">
        <f>SUM(L62:L66)</f>
        <v>4508900</v>
      </c>
      <c r="M67" s="151">
        <f t="shared" ref="M67:N67" si="23">SUM(M62:M66)</f>
        <v>0</v>
      </c>
      <c r="N67" s="151">
        <f t="shared" si="23"/>
        <v>4508900</v>
      </c>
      <c r="O67" s="153"/>
    </row>
    <row r="68" spans="1:15" s="57" customFormat="1" ht="17.25" customHeight="1">
      <c r="A68" s="56" t="s">
        <v>27</v>
      </c>
      <c r="B68" s="56" t="s">
        <v>89</v>
      </c>
      <c r="C68" s="68"/>
      <c r="D68" s="68"/>
      <c r="E68" s="68"/>
      <c r="F68" s="68"/>
      <c r="G68" s="158"/>
      <c r="H68" s="158"/>
      <c r="I68" s="158"/>
      <c r="J68" s="158"/>
      <c r="K68" s="158"/>
      <c r="L68" s="158"/>
      <c r="M68" s="158"/>
      <c r="N68" s="158"/>
      <c r="O68" s="155"/>
    </row>
    <row r="69" spans="1:15" s="71" customFormat="1" ht="17.25" customHeight="1">
      <c r="A69" s="77">
        <v>44</v>
      </c>
      <c r="B69" s="75" t="s">
        <v>90</v>
      </c>
      <c r="C69" s="59">
        <v>3.33</v>
      </c>
      <c r="D69" s="62">
        <v>0.2</v>
      </c>
      <c r="E69" s="61"/>
      <c r="F69" s="78">
        <f t="shared" si="1"/>
        <v>3.5300000000000002</v>
      </c>
      <c r="G69" s="159">
        <f t="shared" si="2"/>
        <v>5259700</v>
      </c>
      <c r="H69" s="160" t="s">
        <v>18</v>
      </c>
      <c r="I69" s="161">
        <f t="shared" si="3"/>
        <v>264</v>
      </c>
      <c r="J69" s="161"/>
      <c r="K69" s="161"/>
      <c r="L69" s="154">
        <f>3180000-447000</f>
        <v>2733000</v>
      </c>
      <c r="M69" s="149">
        <v>447000</v>
      </c>
      <c r="N69" s="150">
        <f>L69+M69</f>
        <v>3180000</v>
      </c>
      <c r="O69" s="79"/>
    </row>
    <row r="70" spans="1:15" s="71" customFormat="1" ht="17.25" customHeight="1">
      <c r="A70" s="77">
        <v>45</v>
      </c>
      <c r="B70" s="58" t="s">
        <v>91</v>
      </c>
      <c r="C70" s="59">
        <v>2.86</v>
      </c>
      <c r="D70" s="60">
        <v>0.15</v>
      </c>
      <c r="E70" s="61"/>
      <c r="F70" s="78">
        <f t="shared" si="1"/>
        <v>3.01</v>
      </c>
      <c r="G70" s="159">
        <f t="shared" si="2"/>
        <v>4484900</v>
      </c>
      <c r="H70" s="160" t="s">
        <v>18</v>
      </c>
      <c r="I70" s="161">
        <f t="shared" si="3"/>
        <v>264</v>
      </c>
      <c r="J70" s="161"/>
      <c r="K70" s="161"/>
      <c r="L70" s="154">
        <v>650000</v>
      </c>
      <c r="M70" s="149"/>
      <c r="N70" s="150">
        <f t="shared" ref="N70:N72" si="24">L70+M70</f>
        <v>650000</v>
      </c>
      <c r="O70" s="79"/>
    </row>
    <row r="71" spans="1:15" s="71" customFormat="1" ht="17.25" customHeight="1">
      <c r="A71" s="77">
        <v>46</v>
      </c>
      <c r="B71" s="58" t="s">
        <v>92</v>
      </c>
      <c r="C71" s="59">
        <v>4.0599999999999996</v>
      </c>
      <c r="D71" s="60"/>
      <c r="E71" s="61">
        <v>0.24359999999999996</v>
      </c>
      <c r="F71" s="78">
        <f t="shared" si="1"/>
        <v>4.3035999999999994</v>
      </c>
      <c r="G71" s="159">
        <f t="shared" si="2"/>
        <v>6412363.9999999991</v>
      </c>
      <c r="H71" s="160" t="s">
        <v>18</v>
      </c>
      <c r="I71" s="161">
        <f t="shared" si="3"/>
        <v>264</v>
      </c>
      <c r="J71" s="161"/>
      <c r="K71" s="161"/>
      <c r="L71" s="154">
        <v>550000</v>
      </c>
      <c r="M71" s="149"/>
      <c r="N71" s="150">
        <f t="shared" si="24"/>
        <v>550000</v>
      </c>
      <c r="O71" s="79"/>
    </row>
    <row r="72" spans="1:15" s="71" customFormat="1" ht="15.75">
      <c r="A72" s="77">
        <v>47</v>
      </c>
      <c r="B72" s="58" t="s">
        <v>93</v>
      </c>
      <c r="C72" s="59">
        <v>2.86</v>
      </c>
      <c r="D72" s="60"/>
      <c r="E72" s="61"/>
      <c r="F72" s="78">
        <f t="shared" si="1"/>
        <v>2.86</v>
      </c>
      <c r="G72" s="159">
        <f t="shared" si="2"/>
        <v>4261400</v>
      </c>
      <c r="H72" s="160" t="s">
        <v>18</v>
      </c>
      <c r="I72" s="161">
        <f t="shared" si="3"/>
        <v>264</v>
      </c>
      <c r="J72" s="161"/>
      <c r="K72" s="161"/>
      <c r="L72" s="154">
        <v>450000</v>
      </c>
      <c r="M72" s="149"/>
      <c r="N72" s="150">
        <f t="shared" si="24"/>
        <v>450000</v>
      </c>
      <c r="O72" s="80"/>
    </row>
    <row r="73" spans="1:15" s="71" customFormat="1" ht="17.25" customHeight="1">
      <c r="A73" s="77"/>
      <c r="B73" s="65" t="s">
        <v>46</v>
      </c>
      <c r="C73" s="70">
        <f>SUM(C69:C72)</f>
        <v>13.11</v>
      </c>
      <c r="D73" s="70">
        <f t="shared" ref="D73:O73" si="25">SUM(D69:D72)</f>
        <v>0.35</v>
      </c>
      <c r="E73" s="70">
        <f t="shared" si="25"/>
        <v>0.24359999999999996</v>
      </c>
      <c r="F73" s="70">
        <f t="shared" si="25"/>
        <v>13.703599999999998</v>
      </c>
      <c r="G73" s="151">
        <f t="shared" si="25"/>
        <v>20418364</v>
      </c>
      <c r="H73" s="151">
        <f t="shared" si="25"/>
        <v>0</v>
      </c>
      <c r="I73" s="151">
        <f t="shared" si="25"/>
        <v>1056</v>
      </c>
      <c r="J73" s="151"/>
      <c r="K73" s="151"/>
      <c r="L73" s="151">
        <f>SUM(L69:L72)</f>
        <v>4383000</v>
      </c>
      <c r="M73" s="151">
        <f t="shared" si="25"/>
        <v>447000</v>
      </c>
      <c r="N73" s="151">
        <f t="shared" si="25"/>
        <v>4830000</v>
      </c>
      <c r="O73" s="70"/>
    </row>
    <row r="74" spans="1:15" s="57" customFormat="1" ht="17.25" customHeight="1">
      <c r="A74" s="56" t="s">
        <v>28</v>
      </c>
      <c r="B74" s="56" t="s">
        <v>94</v>
      </c>
      <c r="C74" s="68"/>
      <c r="D74" s="68"/>
      <c r="E74" s="68"/>
      <c r="F74" s="68"/>
      <c r="G74" s="158"/>
      <c r="H74" s="158"/>
      <c r="I74" s="158"/>
      <c r="J74" s="158"/>
      <c r="K74" s="158"/>
      <c r="L74" s="158"/>
      <c r="M74" s="158"/>
      <c r="N74" s="158"/>
      <c r="O74" s="68"/>
    </row>
    <row r="75" spans="1:15" s="71" customFormat="1" ht="17.25" customHeight="1">
      <c r="A75" s="77">
        <v>48</v>
      </c>
      <c r="B75" s="58" t="s">
        <v>95</v>
      </c>
      <c r="C75" s="59">
        <v>3</v>
      </c>
      <c r="D75" s="61">
        <v>0.2</v>
      </c>
      <c r="E75" s="61"/>
      <c r="F75" s="78">
        <f t="shared" si="1"/>
        <v>3.2</v>
      </c>
      <c r="G75" s="159">
        <f t="shared" si="2"/>
        <v>4768000</v>
      </c>
      <c r="H75" s="160" t="s">
        <v>18</v>
      </c>
      <c r="I75" s="161">
        <f t="shared" si="3"/>
        <v>264</v>
      </c>
      <c r="J75" s="161"/>
      <c r="K75" s="161"/>
      <c r="L75" s="148">
        <v>723800</v>
      </c>
      <c r="M75" s="149"/>
      <c r="N75" s="150">
        <f t="shared" ref="N75:N82" si="26">L75+M75</f>
        <v>723800</v>
      </c>
      <c r="O75" s="79"/>
    </row>
    <row r="76" spans="1:15" s="71" customFormat="1" ht="17.25" customHeight="1">
      <c r="A76" s="77">
        <v>49</v>
      </c>
      <c r="B76" s="58" t="s">
        <v>96</v>
      </c>
      <c r="C76" s="59">
        <v>2.86</v>
      </c>
      <c r="D76" s="60">
        <v>0.15</v>
      </c>
      <c r="E76" s="61"/>
      <c r="F76" s="78">
        <f t="shared" ref="F76:F96" si="27">SUM(C76:E76)</f>
        <v>3.01</v>
      </c>
      <c r="G76" s="159">
        <f t="shared" ref="G76:G96" si="28">F76*1490000</f>
        <v>4484900</v>
      </c>
      <c r="H76" s="160" t="s">
        <v>18</v>
      </c>
      <c r="I76" s="161">
        <f t="shared" ref="I76:I96" si="29">22*12</f>
        <v>264</v>
      </c>
      <c r="J76" s="161"/>
      <c r="K76" s="161"/>
      <c r="L76" s="148">
        <v>723800</v>
      </c>
      <c r="M76" s="149"/>
      <c r="N76" s="150">
        <f t="shared" si="26"/>
        <v>723800</v>
      </c>
      <c r="O76" s="79"/>
    </row>
    <row r="77" spans="1:15" s="71" customFormat="1" ht="17.25" customHeight="1">
      <c r="A77" s="77">
        <v>50</v>
      </c>
      <c r="B77" s="58" t="s">
        <v>97</v>
      </c>
      <c r="C77" s="59">
        <v>4.0599999999999996</v>
      </c>
      <c r="D77" s="60"/>
      <c r="E77" s="61">
        <v>0.44659999999999994</v>
      </c>
      <c r="F77" s="78">
        <f t="shared" si="27"/>
        <v>4.5065999999999997</v>
      </c>
      <c r="G77" s="159">
        <f t="shared" si="28"/>
        <v>6714834</v>
      </c>
      <c r="H77" s="160" t="s">
        <v>18</v>
      </c>
      <c r="I77" s="161">
        <f t="shared" si="29"/>
        <v>264</v>
      </c>
      <c r="J77" s="161"/>
      <c r="K77" s="161"/>
      <c r="L77" s="148">
        <v>723800</v>
      </c>
      <c r="M77" s="149"/>
      <c r="N77" s="150">
        <f t="shared" si="26"/>
        <v>723800</v>
      </c>
      <c r="O77" s="81"/>
    </row>
    <row r="78" spans="1:15" s="71" customFormat="1" ht="17.25" customHeight="1">
      <c r="A78" s="77">
        <v>51</v>
      </c>
      <c r="B78" s="58" t="s">
        <v>98</v>
      </c>
      <c r="C78" s="59">
        <v>3.06</v>
      </c>
      <c r="D78" s="60"/>
      <c r="E78" s="61"/>
      <c r="F78" s="78">
        <f t="shared" si="27"/>
        <v>3.06</v>
      </c>
      <c r="G78" s="159">
        <f t="shared" si="28"/>
        <v>4559400</v>
      </c>
      <c r="H78" s="160" t="s">
        <v>18</v>
      </c>
      <c r="I78" s="161">
        <f t="shared" si="29"/>
        <v>264</v>
      </c>
      <c r="J78" s="161"/>
      <c r="K78" s="161"/>
      <c r="L78" s="148">
        <v>723800</v>
      </c>
      <c r="M78" s="149"/>
      <c r="N78" s="150">
        <f t="shared" si="26"/>
        <v>723800</v>
      </c>
      <c r="O78" s="79"/>
    </row>
    <row r="79" spans="1:15" s="71" customFormat="1" ht="17.25" customHeight="1">
      <c r="A79" s="77">
        <v>52</v>
      </c>
      <c r="B79" s="58" t="s">
        <v>99</v>
      </c>
      <c r="C79" s="59">
        <v>3.46</v>
      </c>
      <c r="D79" s="60"/>
      <c r="E79" s="61"/>
      <c r="F79" s="78">
        <f t="shared" si="27"/>
        <v>3.46</v>
      </c>
      <c r="G79" s="159">
        <f t="shared" si="28"/>
        <v>5155400</v>
      </c>
      <c r="H79" s="160" t="s">
        <v>18</v>
      </c>
      <c r="I79" s="161">
        <f t="shared" si="29"/>
        <v>264</v>
      </c>
      <c r="J79" s="161"/>
      <c r="K79" s="161"/>
      <c r="L79" s="148">
        <v>723800</v>
      </c>
      <c r="M79" s="149"/>
      <c r="N79" s="150">
        <f t="shared" si="26"/>
        <v>723800</v>
      </c>
      <c r="O79" s="79"/>
    </row>
    <row r="80" spans="1:15" s="71" customFormat="1" ht="17.25" customHeight="1">
      <c r="A80" s="77">
        <v>53</v>
      </c>
      <c r="B80" s="58" t="s">
        <v>100</v>
      </c>
      <c r="C80" s="59">
        <v>2.46</v>
      </c>
      <c r="D80" s="60"/>
      <c r="E80" s="61"/>
      <c r="F80" s="78">
        <f t="shared" si="27"/>
        <v>2.46</v>
      </c>
      <c r="G80" s="159">
        <f t="shared" si="28"/>
        <v>3665400</v>
      </c>
      <c r="H80" s="160" t="s">
        <v>18</v>
      </c>
      <c r="I80" s="161">
        <f t="shared" si="29"/>
        <v>264</v>
      </c>
      <c r="J80" s="161"/>
      <c r="K80" s="161"/>
      <c r="L80" s="148">
        <v>723800</v>
      </c>
      <c r="M80" s="149"/>
      <c r="N80" s="150">
        <f t="shared" si="26"/>
        <v>723800</v>
      </c>
      <c r="O80" s="79"/>
    </row>
    <row r="81" spans="1:16" s="71" customFormat="1" ht="17.25" customHeight="1">
      <c r="A81" s="77"/>
      <c r="B81" s="65" t="s">
        <v>46</v>
      </c>
      <c r="C81" s="70">
        <f>SUM(C75:C80)</f>
        <v>18.899999999999999</v>
      </c>
      <c r="D81" s="70">
        <f t="shared" ref="D81:O81" si="30">SUM(D75:D80)</f>
        <v>0.35</v>
      </c>
      <c r="E81" s="70">
        <f t="shared" si="30"/>
        <v>0.44659999999999994</v>
      </c>
      <c r="F81" s="70">
        <f t="shared" si="30"/>
        <v>19.6966</v>
      </c>
      <c r="G81" s="151">
        <f t="shared" si="30"/>
        <v>29347934</v>
      </c>
      <c r="H81" s="151">
        <f t="shared" si="30"/>
        <v>0</v>
      </c>
      <c r="I81" s="151">
        <f t="shared" si="30"/>
        <v>1584</v>
      </c>
      <c r="J81" s="151">
        <f t="shared" si="30"/>
        <v>0</v>
      </c>
      <c r="K81" s="151">
        <f t="shared" si="30"/>
        <v>0</v>
      </c>
      <c r="L81" s="151">
        <f t="shared" si="30"/>
        <v>4342800</v>
      </c>
      <c r="M81" s="151">
        <f t="shared" si="30"/>
        <v>0</v>
      </c>
      <c r="N81" s="151">
        <f t="shared" si="30"/>
        <v>4342800</v>
      </c>
      <c r="O81" s="70"/>
    </row>
    <row r="82" spans="1:16" s="57" customFormat="1" ht="17.25" customHeight="1">
      <c r="A82" s="56" t="s">
        <v>32</v>
      </c>
      <c r="B82" s="56" t="s">
        <v>101</v>
      </c>
      <c r="C82" s="68"/>
      <c r="D82" s="68"/>
      <c r="E82" s="68"/>
      <c r="F82" s="68"/>
      <c r="G82" s="158"/>
      <c r="H82" s="158"/>
      <c r="I82" s="158"/>
      <c r="J82" s="158"/>
      <c r="K82" s="158"/>
      <c r="L82" s="158"/>
      <c r="M82" s="158"/>
      <c r="N82" s="158"/>
      <c r="O82" s="68"/>
    </row>
    <row r="83" spans="1:16" s="71" customFormat="1" ht="17.25" customHeight="1">
      <c r="A83" s="77">
        <v>54</v>
      </c>
      <c r="B83" s="58" t="s">
        <v>102</v>
      </c>
      <c r="C83" s="59">
        <v>4.6500000000000004</v>
      </c>
      <c r="D83" s="60">
        <v>0.2</v>
      </c>
      <c r="E83" s="61"/>
      <c r="F83" s="78">
        <f t="shared" si="27"/>
        <v>4.8500000000000005</v>
      </c>
      <c r="G83" s="159">
        <f t="shared" si="28"/>
        <v>7226500.0000000009</v>
      </c>
      <c r="H83" s="160" t="s">
        <v>18</v>
      </c>
      <c r="I83" s="161">
        <f t="shared" si="29"/>
        <v>264</v>
      </c>
      <c r="J83" s="161"/>
      <c r="K83" s="161"/>
      <c r="L83" s="148">
        <f>516000/5</f>
        <v>103200</v>
      </c>
      <c r="M83" s="149"/>
      <c r="N83" s="150">
        <f t="shared" ref="N83:N89" si="31">L83+M83</f>
        <v>103200</v>
      </c>
      <c r="O83" s="79"/>
    </row>
    <row r="84" spans="1:16" s="71" customFormat="1" ht="17.25" customHeight="1">
      <c r="A84" s="77">
        <v>55</v>
      </c>
      <c r="B84" s="58" t="s">
        <v>103</v>
      </c>
      <c r="C84" s="59">
        <v>2.86</v>
      </c>
      <c r="D84" s="60">
        <v>0.15</v>
      </c>
      <c r="E84" s="61"/>
      <c r="F84" s="78">
        <f t="shared" si="27"/>
        <v>3.01</v>
      </c>
      <c r="G84" s="159">
        <f t="shared" si="28"/>
        <v>4484900</v>
      </c>
      <c r="H84" s="160" t="s">
        <v>18</v>
      </c>
      <c r="I84" s="161">
        <f t="shared" si="29"/>
        <v>264</v>
      </c>
      <c r="J84" s="161"/>
      <c r="K84" s="161"/>
      <c r="L84" s="148">
        <f>516000/5</f>
        <v>103200</v>
      </c>
      <c r="M84" s="149"/>
      <c r="N84" s="150">
        <f t="shared" si="31"/>
        <v>103200</v>
      </c>
      <c r="O84" s="79"/>
    </row>
    <row r="85" spans="1:16" s="71" customFormat="1" ht="17.25" customHeight="1">
      <c r="A85" s="77">
        <v>56</v>
      </c>
      <c r="B85" s="58" t="s">
        <v>104</v>
      </c>
      <c r="C85" s="59">
        <v>4.0599999999999996</v>
      </c>
      <c r="D85" s="60"/>
      <c r="E85" s="61"/>
      <c r="F85" s="78">
        <f t="shared" si="27"/>
        <v>4.0599999999999996</v>
      </c>
      <c r="G85" s="159">
        <f t="shared" si="28"/>
        <v>6049399.9999999991</v>
      </c>
      <c r="H85" s="160" t="s">
        <v>18</v>
      </c>
      <c r="I85" s="161">
        <f t="shared" si="29"/>
        <v>264</v>
      </c>
      <c r="J85" s="161"/>
      <c r="K85" s="161"/>
      <c r="L85" s="148">
        <f t="shared" ref="L85:L88" si="32">516000/5</f>
        <v>103200</v>
      </c>
      <c r="M85" s="149"/>
      <c r="N85" s="150">
        <f t="shared" si="31"/>
        <v>103200</v>
      </c>
      <c r="O85" s="79"/>
    </row>
    <row r="86" spans="1:16" s="71" customFormat="1" ht="17.25" customHeight="1">
      <c r="A86" s="77">
        <v>57</v>
      </c>
      <c r="B86" s="58" t="s">
        <v>105</v>
      </c>
      <c r="C86" s="59">
        <v>2.86</v>
      </c>
      <c r="D86" s="60"/>
      <c r="E86" s="61"/>
      <c r="F86" s="78">
        <f t="shared" si="27"/>
        <v>2.86</v>
      </c>
      <c r="G86" s="159">
        <f t="shared" si="28"/>
        <v>4261400</v>
      </c>
      <c r="H86" s="160" t="s">
        <v>18</v>
      </c>
      <c r="I86" s="161">
        <f t="shared" si="29"/>
        <v>264</v>
      </c>
      <c r="J86" s="161"/>
      <c r="K86" s="161"/>
      <c r="L86" s="148">
        <f t="shared" si="32"/>
        <v>103200</v>
      </c>
      <c r="M86" s="149"/>
      <c r="N86" s="150">
        <f t="shared" si="31"/>
        <v>103200</v>
      </c>
      <c r="O86" s="79"/>
    </row>
    <row r="87" spans="1:16" s="71" customFormat="1" ht="17.25" customHeight="1">
      <c r="A87" s="77">
        <v>58</v>
      </c>
      <c r="B87" s="58" t="s">
        <v>106</v>
      </c>
      <c r="C87" s="59">
        <v>2.86</v>
      </c>
      <c r="D87" s="60"/>
      <c r="E87" s="61"/>
      <c r="F87" s="78">
        <f t="shared" si="27"/>
        <v>2.86</v>
      </c>
      <c r="G87" s="159">
        <f t="shared" si="28"/>
        <v>4261400</v>
      </c>
      <c r="H87" s="160" t="s">
        <v>18</v>
      </c>
      <c r="I87" s="161">
        <f t="shared" si="29"/>
        <v>264</v>
      </c>
      <c r="J87" s="161"/>
      <c r="K87" s="161"/>
      <c r="L87" s="148">
        <f t="shared" si="32"/>
        <v>103200</v>
      </c>
      <c r="M87" s="149"/>
      <c r="N87" s="150">
        <f t="shared" si="31"/>
        <v>103200</v>
      </c>
      <c r="O87" s="79"/>
    </row>
    <row r="88" spans="1:16" s="71" customFormat="1" ht="17.25" customHeight="1">
      <c r="A88" s="77"/>
      <c r="B88" s="65" t="s">
        <v>46</v>
      </c>
      <c r="C88" s="70">
        <f>SUM(C83:C87)</f>
        <v>17.29</v>
      </c>
      <c r="D88" s="70">
        <f t="shared" ref="D88:N88" si="33">SUM(D83:D87)</f>
        <v>0.35</v>
      </c>
      <c r="E88" s="70">
        <f t="shared" si="33"/>
        <v>0</v>
      </c>
      <c r="F88" s="70">
        <f t="shared" si="33"/>
        <v>17.64</v>
      </c>
      <c r="G88" s="151">
        <f t="shared" si="33"/>
        <v>26283600</v>
      </c>
      <c r="H88" s="151">
        <f t="shared" si="33"/>
        <v>0</v>
      </c>
      <c r="I88" s="151">
        <f t="shared" si="33"/>
        <v>1320</v>
      </c>
      <c r="J88" s="151"/>
      <c r="K88" s="151"/>
      <c r="L88" s="151">
        <f t="shared" si="33"/>
        <v>516000</v>
      </c>
      <c r="M88" s="151">
        <f t="shared" ref="M88" si="34">SUM(M83:M87)</f>
        <v>0</v>
      </c>
      <c r="N88" s="151">
        <f t="shared" ref="N88" si="35">SUM(N83:N87)</f>
        <v>516000</v>
      </c>
      <c r="O88" s="63"/>
    </row>
    <row r="89" spans="1:16" s="57" customFormat="1" ht="17.25" customHeight="1">
      <c r="A89" s="56" t="s">
        <v>33</v>
      </c>
      <c r="B89" s="56" t="s">
        <v>107</v>
      </c>
      <c r="C89" s="68"/>
      <c r="D89" s="68"/>
      <c r="E89" s="68"/>
      <c r="F89" s="68"/>
      <c r="G89" s="158"/>
      <c r="H89" s="158"/>
      <c r="I89" s="158"/>
      <c r="J89" s="158"/>
      <c r="K89" s="158"/>
      <c r="L89" s="158"/>
      <c r="M89" s="158"/>
      <c r="N89" s="150">
        <f t="shared" si="31"/>
        <v>0</v>
      </c>
      <c r="O89" s="56"/>
    </row>
    <row r="90" spans="1:16" s="71" customFormat="1" ht="17.25" customHeight="1">
      <c r="A90" s="77">
        <v>59</v>
      </c>
      <c r="B90" s="58" t="s">
        <v>108</v>
      </c>
      <c r="C90" s="59">
        <v>2.86</v>
      </c>
      <c r="D90" s="60">
        <v>0.2</v>
      </c>
      <c r="E90" s="61"/>
      <c r="F90" s="78">
        <f t="shared" si="27"/>
        <v>3.06</v>
      </c>
      <c r="G90" s="159">
        <f t="shared" si="28"/>
        <v>4559400</v>
      </c>
      <c r="H90" s="160" t="s">
        <v>18</v>
      </c>
      <c r="I90" s="161">
        <f t="shared" si="29"/>
        <v>264</v>
      </c>
      <c r="J90" s="161"/>
      <c r="K90" s="161"/>
      <c r="L90" s="148">
        <v>590000</v>
      </c>
      <c r="M90" s="149">
        <v>447000</v>
      </c>
      <c r="N90" s="150">
        <f>L90+M90</f>
        <v>1037000</v>
      </c>
      <c r="O90" s="80"/>
    </row>
    <row r="91" spans="1:16" s="71" customFormat="1" ht="17.25" customHeight="1">
      <c r="A91" s="77">
        <v>60</v>
      </c>
      <c r="B91" s="58" t="s">
        <v>109</v>
      </c>
      <c r="C91" s="59">
        <v>2.2599999999999998</v>
      </c>
      <c r="D91" s="60">
        <v>0.15</v>
      </c>
      <c r="E91" s="61"/>
      <c r="F91" s="78">
        <f t="shared" si="27"/>
        <v>2.4099999999999997</v>
      </c>
      <c r="G91" s="159">
        <f t="shared" si="28"/>
        <v>3590899.9999999995</v>
      </c>
      <c r="H91" s="160" t="s">
        <v>18</v>
      </c>
      <c r="I91" s="161">
        <f t="shared" si="29"/>
        <v>264</v>
      </c>
      <c r="J91" s="161"/>
      <c r="K91" s="161"/>
      <c r="L91" s="148">
        <f>590000+41000</f>
        <v>631000</v>
      </c>
      <c r="M91" s="149"/>
      <c r="N91" s="150">
        <f t="shared" ref="N91:N94" si="36">L91+M91</f>
        <v>631000</v>
      </c>
      <c r="O91" s="79"/>
    </row>
    <row r="92" spans="1:16" s="71" customFormat="1" ht="17.25" customHeight="1">
      <c r="A92" s="77">
        <v>61</v>
      </c>
      <c r="B92" s="58" t="s">
        <v>110</v>
      </c>
      <c r="C92" s="59">
        <v>2.86</v>
      </c>
      <c r="D92" s="60"/>
      <c r="E92" s="61"/>
      <c r="F92" s="78">
        <f t="shared" si="27"/>
        <v>2.86</v>
      </c>
      <c r="G92" s="159">
        <f t="shared" si="28"/>
        <v>4261400</v>
      </c>
      <c r="H92" s="160" t="s">
        <v>18</v>
      </c>
      <c r="I92" s="161">
        <f t="shared" si="29"/>
        <v>264</v>
      </c>
      <c r="J92" s="161"/>
      <c r="K92" s="161"/>
      <c r="L92" s="148">
        <v>590000</v>
      </c>
      <c r="M92" s="149"/>
      <c r="N92" s="150">
        <f t="shared" si="36"/>
        <v>590000</v>
      </c>
      <c r="O92" s="79"/>
    </row>
    <row r="93" spans="1:16" s="71" customFormat="1" ht="17.25" customHeight="1">
      <c r="A93" s="77">
        <v>62</v>
      </c>
      <c r="B93" s="58" t="s">
        <v>43</v>
      </c>
      <c r="C93" s="59">
        <v>2.86</v>
      </c>
      <c r="D93" s="60"/>
      <c r="E93" s="61"/>
      <c r="F93" s="78">
        <f t="shared" si="27"/>
        <v>2.86</v>
      </c>
      <c r="G93" s="159">
        <f t="shared" si="28"/>
        <v>4261400</v>
      </c>
      <c r="H93" s="160" t="s">
        <v>18</v>
      </c>
      <c r="I93" s="161">
        <f t="shared" si="29"/>
        <v>264</v>
      </c>
      <c r="J93" s="161"/>
      <c r="K93" s="161"/>
      <c r="L93" s="148">
        <v>590000</v>
      </c>
      <c r="M93" s="149"/>
      <c r="N93" s="150">
        <f t="shared" si="36"/>
        <v>590000</v>
      </c>
      <c r="O93" s="79"/>
    </row>
    <row r="94" spans="1:16" s="71" customFormat="1" ht="17.25" customHeight="1">
      <c r="A94" s="77">
        <v>63</v>
      </c>
      <c r="B94" s="58" t="s">
        <v>111</v>
      </c>
      <c r="C94" s="59">
        <v>4.0599999999999996</v>
      </c>
      <c r="D94" s="60"/>
      <c r="E94" s="61">
        <v>0.24359999999999996</v>
      </c>
      <c r="F94" s="78">
        <f t="shared" si="27"/>
        <v>4.3035999999999994</v>
      </c>
      <c r="G94" s="159">
        <f t="shared" si="28"/>
        <v>6412363.9999999991</v>
      </c>
      <c r="H94" s="160" t="s">
        <v>18</v>
      </c>
      <c r="I94" s="161">
        <f t="shared" si="29"/>
        <v>264</v>
      </c>
      <c r="J94" s="161"/>
      <c r="K94" s="161"/>
      <c r="L94" s="148">
        <v>590000</v>
      </c>
      <c r="M94" s="149"/>
      <c r="N94" s="150">
        <f t="shared" si="36"/>
        <v>590000</v>
      </c>
      <c r="O94" s="79"/>
    </row>
    <row r="95" spans="1:16" s="71" customFormat="1" ht="17.25" customHeight="1">
      <c r="A95" s="77"/>
      <c r="B95" s="65" t="s">
        <v>46</v>
      </c>
      <c r="C95" s="66">
        <f>SUM(C90:C94)</f>
        <v>14.899999999999999</v>
      </c>
      <c r="D95" s="66">
        <f t="shared" ref="D95:N95" si="37">SUM(D90:D94)</f>
        <v>0.35</v>
      </c>
      <c r="E95" s="66">
        <f t="shared" si="37"/>
        <v>0.24359999999999996</v>
      </c>
      <c r="F95" s="66">
        <f t="shared" si="37"/>
        <v>15.493599999999999</v>
      </c>
      <c r="G95" s="151">
        <f t="shared" si="37"/>
        <v>23085464</v>
      </c>
      <c r="H95" s="151">
        <f t="shared" si="37"/>
        <v>0</v>
      </c>
      <c r="I95" s="151">
        <f t="shared" si="37"/>
        <v>1320</v>
      </c>
      <c r="J95" s="151"/>
      <c r="K95" s="151"/>
      <c r="L95" s="151">
        <f t="shared" si="37"/>
        <v>2991000</v>
      </c>
      <c r="M95" s="151">
        <f t="shared" si="37"/>
        <v>447000</v>
      </c>
      <c r="N95" s="151">
        <f>L95+M95</f>
        <v>3438000</v>
      </c>
      <c r="O95" s="63"/>
    </row>
    <row r="96" spans="1:16" s="71" customFormat="1" ht="17.25" customHeight="1">
      <c r="A96" s="82" t="s">
        <v>112</v>
      </c>
      <c r="B96" s="82"/>
      <c r="C96" s="66">
        <f>SUM(C9:C95)/2</f>
        <v>212.61600000000007</v>
      </c>
      <c r="D96" s="66">
        <f t="shared" ref="D96:N96" si="38">SUM(D9:D95)/2</f>
        <v>41.13000000000001</v>
      </c>
      <c r="E96" s="66">
        <f t="shared" si="38"/>
        <v>43.320100000000004</v>
      </c>
      <c r="F96" s="66">
        <f t="shared" si="38"/>
        <v>225.20610000000005</v>
      </c>
      <c r="G96" s="151">
        <f t="shared" si="38"/>
        <v>273081432.93000001</v>
      </c>
      <c r="H96" s="151">
        <f t="shared" si="38"/>
        <v>45.929999999999993</v>
      </c>
      <c r="I96" s="151">
        <f t="shared" si="38"/>
        <v>14149.93</v>
      </c>
      <c r="J96" s="151"/>
      <c r="K96" s="151"/>
      <c r="L96" s="151">
        <f t="shared" si="38"/>
        <v>76929447.888581485</v>
      </c>
      <c r="M96" s="151">
        <f t="shared" si="38"/>
        <v>2682000</v>
      </c>
      <c r="N96" s="151">
        <f t="shared" si="38"/>
        <v>79611447.888581485</v>
      </c>
      <c r="O96" s="63"/>
      <c r="P96" s="162"/>
    </row>
    <row r="97" spans="1:56" s="33" customFormat="1" ht="23.25" customHeight="1">
      <c r="A97" s="23"/>
      <c r="B97" s="24" t="s">
        <v>34</v>
      </c>
      <c r="C97" s="25"/>
      <c r="D97" s="26"/>
      <c r="E97" s="27"/>
      <c r="F97" s="27"/>
      <c r="G97" s="27"/>
      <c r="H97" s="28"/>
      <c r="I97" s="29"/>
      <c r="J97" s="29"/>
      <c r="K97" s="29"/>
      <c r="L97" s="30"/>
      <c r="M97" s="31"/>
      <c r="N97" s="31"/>
      <c r="O97" s="31"/>
      <c r="P97" s="2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</row>
    <row r="98" spans="1:56" s="33" customFormat="1" ht="15.75">
      <c r="A98" s="34"/>
      <c r="B98" s="35"/>
      <c r="D98" s="35"/>
      <c r="E98" s="35"/>
      <c r="L98" s="36"/>
      <c r="O98" s="37" t="s">
        <v>35</v>
      </c>
      <c r="P98" s="22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</row>
    <row r="99" spans="1:56" s="33" customFormat="1" ht="15.75">
      <c r="A99" s="34"/>
      <c r="B99" s="38"/>
      <c r="C99" s="39" t="s">
        <v>36</v>
      </c>
      <c r="D99" s="38"/>
      <c r="E99" s="38"/>
      <c r="I99" s="40" t="s">
        <v>37</v>
      </c>
      <c r="J99" s="40"/>
      <c r="K99" s="40"/>
      <c r="L99" s="38"/>
      <c r="N99" s="41" t="s">
        <v>38</v>
      </c>
      <c r="O99" s="38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</row>
    <row r="100" spans="1:56" s="33" customFormat="1" ht="23.25" customHeight="1">
      <c r="A100" s="34"/>
      <c r="B100" s="38"/>
      <c r="C100" s="42"/>
      <c r="D100" s="38"/>
      <c r="E100" s="38"/>
      <c r="I100" s="40"/>
      <c r="J100" s="40"/>
      <c r="K100" s="40"/>
      <c r="L100" s="44"/>
      <c r="N100" s="45"/>
      <c r="O100" s="43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</row>
    <row r="101" spans="1:56" s="33" customFormat="1" ht="15.75">
      <c r="A101" s="34"/>
      <c r="B101" s="38"/>
      <c r="C101" s="42"/>
      <c r="D101" s="38"/>
      <c r="E101" s="38"/>
      <c r="I101" s="40"/>
      <c r="J101" s="40"/>
      <c r="K101" s="40"/>
      <c r="L101" s="46"/>
      <c r="N101" s="45"/>
      <c r="O101" s="38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</row>
    <row r="102" spans="1:56" s="33" customFormat="1" ht="15.75">
      <c r="A102" s="34"/>
      <c r="B102" s="35"/>
      <c r="C102" s="42"/>
      <c r="D102" s="39"/>
      <c r="E102" s="35"/>
      <c r="I102" s="40"/>
      <c r="J102" s="40"/>
      <c r="K102" s="40"/>
      <c r="L102" s="47"/>
      <c r="N102" s="45"/>
      <c r="O102" s="35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</row>
    <row r="103" spans="1:56" s="33" customFormat="1" ht="27" customHeight="1">
      <c r="A103" s="34"/>
      <c r="B103" s="48"/>
      <c r="C103" s="39" t="s">
        <v>20</v>
      </c>
      <c r="D103" s="49"/>
      <c r="E103" s="50"/>
      <c r="F103" s="50"/>
      <c r="G103" s="50"/>
      <c r="H103" s="51"/>
      <c r="I103" s="40" t="s">
        <v>39</v>
      </c>
      <c r="J103" s="40"/>
      <c r="K103" s="40"/>
      <c r="L103" s="30"/>
      <c r="N103" s="41" t="s">
        <v>40</v>
      </c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</row>
    <row r="104" spans="1:56" s="33" customFormat="1" ht="15.75">
      <c r="A104" s="34"/>
      <c r="B104" s="48"/>
      <c r="C104" s="52"/>
      <c r="D104" s="53"/>
      <c r="E104" s="52"/>
      <c r="F104" s="50"/>
      <c r="G104" s="50"/>
      <c r="H104" s="51"/>
      <c r="I104" s="54"/>
      <c r="J104" s="54"/>
      <c r="K104" s="54"/>
      <c r="L104" s="30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</row>
    <row r="106" spans="1:56">
      <c r="C106" s="55"/>
    </row>
    <row r="117" spans="1:11">
      <c r="A117" s="12"/>
      <c r="I117" s="12"/>
      <c r="J117" s="12"/>
      <c r="K117" s="12"/>
    </row>
  </sheetData>
  <mergeCells count="4">
    <mergeCell ref="A4:O4"/>
    <mergeCell ref="A5:O5"/>
    <mergeCell ref="A6:H6"/>
    <mergeCell ref="A96:B9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topLeftCell="A10" workbookViewId="0">
      <selection activeCell="L18" sqref="L18"/>
    </sheetView>
  </sheetViews>
  <sheetFormatPr defaultColWidth="9" defaultRowHeight="18"/>
  <cols>
    <col min="1" max="1" width="3.125" style="84" customWidth="1"/>
    <col min="2" max="2" width="9" style="84" customWidth="1"/>
    <col min="3" max="3" width="4.25" style="84" customWidth="1"/>
    <col min="4" max="4" width="0.375" style="84" hidden="1" customWidth="1"/>
    <col min="5" max="5" width="7.5" style="84" customWidth="1"/>
    <col min="6" max="6" width="0.125" style="84" customWidth="1"/>
    <col min="7" max="7" width="7.125" style="84" customWidth="1"/>
    <col min="8" max="8" width="5.5" style="84" customWidth="1"/>
    <col min="9" max="9" width="4.5" style="84" customWidth="1"/>
    <col min="10" max="10" width="6.5" style="84" customWidth="1"/>
    <col min="11" max="12" width="5.875" style="84" customWidth="1"/>
    <col min="13" max="13" width="5.75" style="84" customWidth="1"/>
    <col min="14" max="14" width="6.625" style="84" customWidth="1"/>
    <col min="15" max="15" width="7.25" style="84" customWidth="1"/>
    <col min="16" max="16" width="7.125" style="84" customWidth="1"/>
    <col min="17" max="17" width="6.75" style="84" customWidth="1"/>
    <col min="18" max="18" width="6.125" style="84" customWidth="1"/>
    <col min="19" max="19" width="5.25" style="84" customWidth="1"/>
    <col min="20" max="20" width="6.25" style="84" customWidth="1"/>
    <col min="21" max="21" width="6.125" style="84" customWidth="1"/>
    <col min="22" max="22" width="5.875" style="84" customWidth="1"/>
    <col min="23" max="23" width="6.125" style="84" customWidth="1"/>
    <col min="24" max="24" width="6.875" style="84" customWidth="1"/>
    <col min="25" max="25" width="7.625" style="84" customWidth="1"/>
    <col min="26" max="26" width="6.75" style="84" customWidth="1"/>
    <col min="27" max="27" width="20.125" style="84" customWidth="1"/>
    <col min="28" max="28" width="4.25" style="84" customWidth="1"/>
    <col min="29" max="29" width="13.625" style="84" customWidth="1"/>
    <col min="30" max="30" width="12.375" style="84" customWidth="1"/>
    <col min="31" max="16384" width="9" style="84"/>
  </cols>
  <sheetData>
    <row r="1" spans="1:32">
      <c r="A1" s="83" t="s">
        <v>113</v>
      </c>
    </row>
    <row r="2" spans="1:32">
      <c r="A2" s="85" t="s">
        <v>114</v>
      </c>
    </row>
    <row r="3" spans="1:32" ht="29.25">
      <c r="C3" s="86"/>
      <c r="D3" s="86"/>
      <c r="F3" s="87" t="s">
        <v>115</v>
      </c>
      <c r="G3" s="86"/>
      <c r="I3" s="88"/>
      <c r="J3" s="88"/>
      <c r="K3" s="88"/>
      <c r="L3" s="88"/>
      <c r="M3" s="88"/>
      <c r="N3" s="88"/>
      <c r="O3" s="88"/>
      <c r="P3" s="89"/>
      <c r="Q3" s="89"/>
      <c r="R3" s="89"/>
      <c r="S3" s="89"/>
      <c r="T3" s="89"/>
      <c r="U3" s="89"/>
      <c r="V3" s="89"/>
      <c r="W3" s="90"/>
      <c r="X3" s="90"/>
      <c r="Y3" s="90"/>
      <c r="Z3" s="90"/>
      <c r="AA3" s="132"/>
    </row>
    <row r="4" spans="1:32" ht="20.25">
      <c r="I4" s="87"/>
      <c r="J4" s="87"/>
      <c r="K4" s="87"/>
      <c r="L4" s="87"/>
      <c r="M4" s="87"/>
      <c r="N4" s="91"/>
      <c r="P4" s="91"/>
      <c r="Q4" s="91"/>
      <c r="R4" s="91"/>
      <c r="S4" s="91"/>
      <c r="T4" s="91"/>
      <c r="U4" s="91"/>
      <c r="V4" s="91"/>
    </row>
    <row r="6" spans="1:32" s="97" customFormat="1" ht="18.75">
      <c r="A6" s="92" t="s">
        <v>2</v>
      </c>
      <c r="B6" s="92" t="s">
        <v>116</v>
      </c>
      <c r="C6" s="93" t="s">
        <v>117</v>
      </c>
      <c r="D6" s="94" t="s">
        <v>118</v>
      </c>
      <c r="E6" s="94" t="s">
        <v>119</v>
      </c>
      <c r="F6" s="93" t="s">
        <v>120</v>
      </c>
      <c r="G6" s="93"/>
      <c r="H6" s="93"/>
      <c r="I6" s="93"/>
      <c r="J6" s="93"/>
      <c r="K6" s="93"/>
      <c r="L6" s="93"/>
      <c r="M6" s="93"/>
      <c r="N6" s="93"/>
      <c r="O6" s="94" t="s">
        <v>121</v>
      </c>
      <c r="P6" s="95" t="s">
        <v>122</v>
      </c>
      <c r="Q6" s="96"/>
      <c r="R6" s="96"/>
      <c r="S6" s="96"/>
      <c r="T6" s="96"/>
      <c r="U6" s="96"/>
      <c r="V6" s="96"/>
      <c r="W6" s="96"/>
      <c r="X6" s="96"/>
      <c r="Y6" s="93" t="s">
        <v>123</v>
      </c>
      <c r="Z6" s="93" t="s">
        <v>124</v>
      </c>
      <c r="AA6" s="133" t="s">
        <v>125</v>
      </c>
      <c r="AB6" s="93" t="s">
        <v>16</v>
      </c>
    </row>
    <row r="7" spans="1:32" s="97" customFormat="1" ht="147">
      <c r="A7" s="92"/>
      <c r="B7" s="92"/>
      <c r="C7" s="92"/>
      <c r="D7" s="98"/>
      <c r="E7" s="98"/>
      <c r="F7" s="99" t="s">
        <v>126</v>
      </c>
      <c r="G7" s="100" t="s">
        <v>127</v>
      </c>
      <c r="H7" s="100" t="s">
        <v>128</v>
      </c>
      <c r="I7" s="100" t="s">
        <v>129</v>
      </c>
      <c r="J7" s="101" t="s">
        <v>130</v>
      </c>
      <c r="K7" s="101" t="s">
        <v>131</v>
      </c>
      <c r="L7" s="101" t="s">
        <v>132</v>
      </c>
      <c r="M7" s="101" t="s">
        <v>133</v>
      </c>
      <c r="N7" s="101" t="s">
        <v>134</v>
      </c>
      <c r="O7" s="98"/>
      <c r="P7" s="102" t="s">
        <v>135</v>
      </c>
      <c r="Q7" s="103" t="s">
        <v>136</v>
      </c>
      <c r="R7" s="103" t="s">
        <v>137</v>
      </c>
      <c r="S7" s="103" t="s">
        <v>138</v>
      </c>
      <c r="T7" s="103" t="s">
        <v>139</v>
      </c>
      <c r="U7" s="103" t="s">
        <v>140</v>
      </c>
      <c r="V7" s="100" t="s">
        <v>141</v>
      </c>
      <c r="W7" s="100" t="s">
        <v>142</v>
      </c>
      <c r="X7" s="102" t="s">
        <v>143</v>
      </c>
      <c r="Y7" s="93"/>
      <c r="Z7" s="93"/>
      <c r="AA7" s="134"/>
      <c r="AB7" s="93"/>
    </row>
    <row r="8" spans="1:32" s="106" customFormat="1" ht="18.75">
      <c r="A8" s="104">
        <v>1</v>
      </c>
      <c r="B8" s="105">
        <v>2</v>
      </c>
      <c r="C8" s="104">
        <v>3</v>
      </c>
      <c r="D8" s="105">
        <v>4</v>
      </c>
      <c r="E8" s="104" t="s">
        <v>144</v>
      </c>
      <c r="F8" s="105">
        <v>6</v>
      </c>
      <c r="G8" s="104">
        <v>7</v>
      </c>
      <c r="H8" s="105">
        <v>8</v>
      </c>
      <c r="I8" s="104">
        <v>9</v>
      </c>
      <c r="J8" s="105">
        <v>10</v>
      </c>
      <c r="K8" s="104">
        <v>11</v>
      </c>
      <c r="L8" s="105">
        <v>12</v>
      </c>
      <c r="M8" s="104">
        <v>13</v>
      </c>
      <c r="N8" s="105">
        <v>14</v>
      </c>
      <c r="O8" s="104" t="s">
        <v>145</v>
      </c>
      <c r="P8" s="105">
        <v>16</v>
      </c>
      <c r="Q8" s="104">
        <v>17</v>
      </c>
      <c r="R8" s="105">
        <v>18</v>
      </c>
      <c r="S8" s="104">
        <v>19</v>
      </c>
      <c r="T8" s="105">
        <v>20</v>
      </c>
      <c r="U8" s="104">
        <v>21</v>
      </c>
      <c r="V8" s="105">
        <v>22</v>
      </c>
      <c r="W8" s="104">
        <v>23</v>
      </c>
      <c r="X8" s="105">
        <v>24</v>
      </c>
      <c r="Y8" s="104" t="s">
        <v>146</v>
      </c>
      <c r="Z8" s="105" t="s">
        <v>147</v>
      </c>
      <c r="AA8" s="135" t="s">
        <v>148</v>
      </c>
      <c r="AB8" s="105">
        <v>28</v>
      </c>
    </row>
    <row r="9" spans="1:32" ht="18.75">
      <c r="A9" s="107">
        <v>1</v>
      </c>
      <c r="B9" s="108" t="s">
        <v>149</v>
      </c>
      <c r="C9" s="109">
        <v>690</v>
      </c>
      <c r="D9" s="109">
        <f>'[1]TYT xã _2020_Quý IV (4)'!D9+'[1]TYT xã _2020_Quý III (3)'!D9+'[1]TYT xã _2020_Quý II (2)'!D9+'[1]TYT xã _2020_Quý I'!D9</f>
        <v>0</v>
      </c>
      <c r="E9" s="110">
        <f>SUM(F9:N9)</f>
        <v>69482285</v>
      </c>
      <c r="F9" s="111">
        <v>0</v>
      </c>
      <c r="G9" s="111">
        <v>46540885</v>
      </c>
      <c r="H9" s="111">
        <v>0</v>
      </c>
      <c r="I9" s="111">
        <v>0</v>
      </c>
      <c r="J9" s="111">
        <v>2358400</v>
      </c>
      <c r="K9" s="111">
        <f>30*53600</f>
        <v>1608000</v>
      </c>
      <c r="L9" s="111"/>
      <c r="M9" s="111">
        <v>0</v>
      </c>
      <c r="N9" s="111">
        <v>18975000</v>
      </c>
      <c r="O9" s="110">
        <f t="shared" ref="O9:O20" si="0">SUM(P9:X9)</f>
        <v>68991385</v>
      </c>
      <c r="P9" s="111">
        <v>46540885</v>
      </c>
      <c r="Q9" s="111">
        <v>14145000</v>
      </c>
      <c r="R9" s="111">
        <v>4700000</v>
      </c>
      <c r="S9" s="111"/>
      <c r="T9" s="111"/>
      <c r="U9" s="111"/>
      <c r="V9" s="111">
        <v>283000</v>
      </c>
      <c r="W9" s="111">
        <v>176000</v>
      </c>
      <c r="X9" s="112">
        <f>2189500+(30*31900)</f>
        <v>3146500</v>
      </c>
      <c r="Y9" s="110">
        <f t="shared" ref="Y9:Y20" si="1">E9-O9</f>
        <v>490900</v>
      </c>
      <c r="Z9" s="110">
        <f>Y9*35%</f>
        <v>171815</v>
      </c>
      <c r="AA9" s="136">
        <f>Y9-Z9</f>
        <v>319085</v>
      </c>
      <c r="AB9" s="113"/>
      <c r="AC9" s="114">
        <f>J9/53600</f>
        <v>44</v>
      </c>
      <c r="AD9" s="84">
        <v>44</v>
      </c>
      <c r="AF9" s="114">
        <f>K9/53600</f>
        <v>30</v>
      </c>
    </row>
    <row r="10" spans="1:32" ht="18.75">
      <c r="A10" s="107">
        <v>2</v>
      </c>
      <c r="B10" s="108" t="s">
        <v>150</v>
      </c>
      <c r="C10" s="109">
        <v>2332</v>
      </c>
      <c r="D10" s="109">
        <f>'[1]TYT xã _2020_Quý IV (4)'!D10+'[1]TYT xã _2020_Quý III (3)'!D10+'[1]TYT xã _2020_Quý II (2)'!D10+'[1]TYT xã _2020_Quý I'!D10</f>
        <v>0</v>
      </c>
      <c r="E10" s="110">
        <f t="shared" ref="E10:E20" si="2">SUM(F10:N10)</f>
        <v>183627960</v>
      </c>
      <c r="F10" s="111">
        <v>0</v>
      </c>
      <c r="G10" s="111">
        <v>115685560</v>
      </c>
      <c r="H10" s="111">
        <v>674100</v>
      </c>
      <c r="I10" s="111">
        <v>0</v>
      </c>
      <c r="J10" s="111">
        <v>2036800</v>
      </c>
      <c r="K10" s="111">
        <f>20*53600</f>
        <v>1072000</v>
      </c>
      <c r="L10" s="111"/>
      <c r="M10" s="111">
        <v>112000</v>
      </c>
      <c r="N10" s="111">
        <v>64047500</v>
      </c>
      <c r="O10" s="110">
        <f t="shared" si="0"/>
        <v>176691190</v>
      </c>
      <c r="P10" s="111">
        <v>115685560</v>
      </c>
      <c r="Q10" s="111">
        <v>47925700</v>
      </c>
      <c r="R10" s="111">
        <v>6000000</v>
      </c>
      <c r="S10" s="111"/>
      <c r="T10" s="111"/>
      <c r="U10" s="111"/>
      <c r="V10" s="111">
        <v>413700</v>
      </c>
      <c r="W10" s="111">
        <v>1405880</v>
      </c>
      <c r="X10" s="112">
        <f>4622350+(20*31900)</f>
        <v>5260350</v>
      </c>
      <c r="Y10" s="110">
        <f t="shared" si="1"/>
        <v>6936770</v>
      </c>
      <c r="Z10" s="110">
        <f t="shared" ref="Z10:Z20" si="3">Y10*35%</f>
        <v>2427869.5</v>
      </c>
      <c r="AA10" s="136">
        <f t="shared" ref="AA10:AA20" si="4">Y10-Z10</f>
        <v>4508900.5</v>
      </c>
      <c r="AB10" s="113"/>
      <c r="AC10" s="114">
        <f t="shared" ref="AC10:AC20" si="5">J10/53600</f>
        <v>38</v>
      </c>
      <c r="AD10" s="115">
        <v>38</v>
      </c>
      <c r="AF10" s="114">
        <f t="shared" ref="AF10:AF20" si="6">K10/53600</f>
        <v>20</v>
      </c>
    </row>
    <row r="11" spans="1:32" ht="18.75">
      <c r="A11" s="107">
        <v>3</v>
      </c>
      <c r="B11" s="108" t="s">
        <v>151</v>
      </c>
      <c r="C11" s="109">
        <v>2122</v>
      </c>
      <c r="D11" s="109">
        <f>'[1]TYT xã _2020_Quý IV (4)'!D11+'[1]TYT xã _2020_Quý III (3)'!D11+'[1]TYT xã _2020_Quý II (2)'!D11+'[1]TYT xã _2020_Quý I'!D11</f>
        <v>0</v>
      </c>
      <c r="E11" s="110">
        <f t="shared" si="2"/>
        <v>187446376</v>
      </c>
      <c r="F11" s="111">
        <v>0</v>
      </c>
      <c r="G11" s="111">
        <v>126822776</v>
      </c>
      <c r="H11" s="111">
        <v>124600</v>
      </c>
      <c r="I11" s="111">
        <v>0</v>
      </c>
      <c r="J11" s="111">
        <v>1072000</v>
      </c>
      <c r="K11" s="111">
        <f>20*53600</f>
        <v>1072000</v>
      </c>
      <c r="L11" s="111"/>
      <c r="M11" s="111">
        <v>0</v>
      </c>
      <c r="N11" s="111">
        <v>58355000</v>
      </c>
      <c r="O11" s="110">
        <f t="shared" si="0"/>
        <v>180015423</v>
      </c>
      <c r="P11" s="111">
        <v>126822776</v>
      </c>
      <c r="Q11" s="111">
        <v>43520600</v>
      </c>
      <c r="R11" s="111">
        <v>4000000</v>
      </c>
      <c r="S11" s="111"/>
      <c r="T11" s="111"/>
      <c r="U11" s="111"/>
      <c r="V11" s="111">
        <v>389300</v>
      </c>
      <c r="W11" s="111">
        <v>2203597</v>
      </c>
      <c r="X11" s="112">
        <f>2441150+(20*31900)</f>
        <v>3079150</v>
      </c>
      <c r="Y11" s="110">
        <f t="shared" si="1"/>
        <v>7430953</v>
      </c>
      <c r="Z11" s="110">
        <f t="shared" si="3"/>
        <v>2600833.5499999998</v>
      </c>
      <c r="AA11" s="136">
        <f t="shared" si="4"/>
        <v>4830119.45</v>
      </c>
      <c r="AB11" s="113"/>
      <c r="AC11" s="114">
        <f t="shared" si="5"/>
        <v>20</v>
      </c>
      <c r="AD11" s="115">
        <v>20</v>
      </c>
      <c r="AF11" s="114">
        <f t="shared" si="6"/>
        <v>20</v>
      </c>
    </row>
    <row r="12" spans="1:32" ht="18.75">
      <c r="A12" s="107">
        <v>4</v>
      </c>
      <c r="B12" s="108" t="s">
        <v>152</v>
      </c>
      <c r="C12" s="109">
        <v>2102</v>
      </c>
      <c r="D12" s="109">
        <f>'[1]TYT xã _2020_Quý IV (4)'!D12+'[1]TYT xã _2020_Quý III (3)'!D12+'[1]TYT xã _2020_Quý II (2)'!D12+'[1]TYT xã _2020_Quý I'!D12</f>
        <v>0</v>
      </c>
      <c r="E12" s="110">
        <f t="shared" si="2"/>
        <v>205908150</v>
      </c>
      <c r="F12" s="111">
        <v>0</v>
      </c>
      <c r="G12" s="111">
        <v>133503150</v>
      </c>
      <c r="H12" s="111">
        <v>1550500</v>
      </c>
      <c r="I12" s="111">
        <v>0</v>
      </c>
      <c r="J12" s="111">
        <v>3537600</v>
      </c>
      <c r="K12" s="111">
        <f>179*53600</f>
        <v>9594400</v>
      </c>
      <c r="L12" s="111"/>
      <c r="M12" s="111">
        <v>0</v>
      </c>
      <c r="N12" s="111">
        <v>57722500</v>
      </c>
      <c r="O12" s="110">
        <f t="shared" si="0"/>
        <v>194773640</v>
      </c>
      <c r="P12" s="111">
        <v>133503150</v>
      </c>
      <c r="Q12" s="111">
        <v>43285000</v>
      </c>
      <c r="R12" s="111">
        <v>5700000</v>
      </c>
      <c r="S12" s="111"/>
      <c r="T12" s="111"/>
      <c r="U12" s="111"/>
      <c r="V12" s="111">
        <v>254620</v>
      </c>
      <c r="W12" s="111">
        <v>2295960</v>
      </c>
      <c r="X12" s="112">
        <f>4024810+(179*31900)</f>
        <v>9734910</v>
      </c>
      <c r="Y12" s="110">
        <f t="shared" si="1"/>
        <v>11134510</v>
      </c>
      <c r="Z12" s="110">
        <f t="shared" si="3"/>
        <v>3897078.4999999995</v>
      </c>
      <c r="AA12" s="136">
        <f t="shared" si="4"/>
        <v>7237431.5</v>
      </c>
      <c r="AB12" s="113"/>
      <c r="AC12" s="114">
        <f t="shared" si="5"/>
        <v>66</v>
      </c>
      <c r="AD12" s="115">
        <v>60</v>
      </c>
      <c r="AE12" s="84">
        <v>30</v>
      </c>
      <c r="AF12" s="114">
        <f t="shared" si="6"/>
        <v>179</v>
      </c>
    </row>
    <row r="13" spans="1:32" ht="18.75">
      <c r="A13" s="107">
        <v>5</v>
      </c>
      <c r="B13" s="108" t="s">
        <v>153</v>
      </c>
      <c r="C13" s="109">
        <v>2220</v>
      </c>
      <c r="D13" s="109">
        <f>'[1]TYT xã _2020_Quý IV (4)'!D13+'[1]TYT xã _2020_Quý III (3)'!D13+'[1]TYT xã _2020_Quý II (2)'!D13+'[1]TYT xã _2020_Quý I'!D13</f>
        <v>0</v>
      </c>
      <c r="E13" s="110">
        <f t="shared" si="2"/>
        <v>203680217</v>
      </c>
      <c r="F13" s="111">
        <v>0</v>
      </c>
      <c r="G13" s="111">
        <v>140832317</v>
      </c>
      <c r="H13" s="111">
        <v>494200</v>
      </c>
      <c r="I13" s="111">
        <v>0</v>
      </c>
      <c r="J13" s="111">
        <v>857600</v>
      </c>
      <c r="K13" s="111">
        <f>16*53600</f>
        <v>857600</v>
      </c>
      <c r="L13" s="111"/>
      <c r="M13" s="111">
        <v>56000</v>
      </c>
      <c r="N13" s="111">
        <v>60582500</v>
      </c>
      <c r="O13" s="110">
        <f t="shared" si="0"/>
        <v>195024967</v>
      </c>
      <c r="P13" s="111">
        <v>140832317</v>
      </c>
      <c r="Q13" s="111">
        <v>45280800</v>
      </c>
      <c r="R13" s="111">
        <v>3700000</v>
      </c>
      <c r="S13" s="111"/>
      <c r="T13" s="111"/>
      <c r="U13" s="111"/>
      <c r="V13" s="111">
        <v>436600</v>
      </c>
      <c r="W13" s="111">
        <v>2718850</v>
      </c>
      <c r="X13" s="112">
        <f>1546000+(16*31900)</f>
        <v>2056400</v>
      </c>
      <c r="Y13" s="110">
        <f t="shared" si="1"/>
        <v>8655250</v>
      </c>
      <c r="Z13" s="110">
        <f t="shared" si="3"/>
        <v>3029337.5</v>
      </c>
      <c r="AA13" s="136">
        <f t="shared" si="4"/>
        <v>5625912.5</v>
      </c>
      <c r="AB13" s="113"/>
      <c r="AC13" s="114">
        <f t="shared" si="5"/>
        <v>16</v>
      </c>
      <c r="AD13" s="115">
        <v>16</v>
      </c>
      <c r="AF13" s="114">
        <f t="shared" si="6"/>
        <v>16</v>
      </c>
    </row>
    <row r="14" spans="1:32" ht="18.75">
      <c r="A14" s="107">
        <v>6</v>
      </c>
      <c r="B14" s="108" t="s">
        <v>154</v>
      </c>
      <c r="C14" s="109">
        <v>2424</v>
      </c>
      <c r="D14" s="109">
        <f>'[1]TYT xã _2020_Quý IV (4)'!D14+'[1]TYT xã _2020_Quý III (3)'!D14+'[1]TYT xã _2020_Quý II (2)'!D14+'[1]TYT xã _2020_Quý I'!D14</f>
        <v>0</v>
      </c>
      <c r="E14" s="110">
        <f t="shared" si="2"/>
        <v>249686434</v>
      </c>
      <c r="F14" s="111">
        <v>0</v>
      </c>
      <c r="G14" s="111">
        <v>128945196</v>
      </c>
      <c r="H14" s="111">
        <v>1362200</v>
      </c>
      <c r="I14" s="111">
        <v>240938</v>
      </c>
      <c r="J14" s="111">
        <v>4609600</v>
      </c>
      <c r="K14" s="111">
        <f>(215)*53600</f>
        <v>11524000</v>
      </c>
      <c r="L14" s="111">
        <v>34120000</v>
      </c>
      <c r="M14" s="111">
        <v>2912000</v>
      </c>
      <c r="N14" s="111">
        <v>65972500</v>
      </c>
      <c r="O14" s="110">
        <f t="shared" si="0"/>
        <v>237199206</v>
      </c>
      <c r="P14" s="111">
        <v>128945196</v>
      </c>
      <c r="Q14" s="111">
        <v>50576900</v>
      </c>
      <c r="R14" s="111">
        <v>5000000</v>
      </c>
      <c r="S14" s="111">
        <v>3000000</v>
      </c>
      <c r="T14" s="111"/>
      <c r="U14" s="111">
        <v>34120000</v>
      </c>
      <c r="V14" s="111">
        <v>1992100</v>
      </c>
      <c r="W14" s="111">
        <v>1351600</v>
      </c>
      <c r="X14" s="112">
        <f>5354910+(215*31900)</f>
        <v>12213410</v>
      </c>
      <c r="Y14" s="110">
        <f t="shared" si="1"/>
        <v>12487228</v>
      </c>
      <c r="Z14" s="110">
        <f t="shared" si="3"/>
        <v>4370529.8</v>
      </c>
      <c r="AA14" s="136">
        <f t="shared" si="4"/>
        <v>8116698.2000000002</v>
      </c>
      <c r="AB14" s="113"/>
      <c r="AC14" s="114">
        <f t="shared" si="5"/>
        <v>86</v>
      </c>
      <c r="AD14" s="115">
        <v>80</v>
      </c>
      <c r="AF14" s="114">
        <f t="shared" si="6"/>
        <v>215</v>
      </c>
    </row>
    <row r="15" spans="1:32" s="147" customFormat="1" ht="18.75">
      <c r="A15" s="138">
        <v>7</v>
      </c>
      <c r="B15" s="139" t="s">
        <v>155</v>
      </c>
      <c r="C15" s="140">
        <v>2581</v>
      </c>
      <c r="D15" s="140">
        <f>'[1]TYT xã _2020_Quý IV (4)'!D15+'[1]TYT xã _2020_Quý III (3)'!D15+'[1]TYT xã _2020_Quý II (2)'!D15+'[1]TYT xã _2020_Quý I'!D15</f>
        <v>0</v>
      </c>
      <c r="E15" s="141">
        <f t="shared" si="2"/>
        <v>261685680</v>
      </c>
      <c r="F15" s="142">
        <v>0</v>
      </c>
      <c r="G15" s="142">
        <v>187574680</v>
      </c>
      <c r="H15" s="142">
        <v>0</v>
      </c>
      <c r="I15" s="142">
        <v>0</v>
      </c>
      <c r="J15" s="142">
        <v>1608000</v>
      </c>
      <c r="K15" s="142">
        <f>30*53600</f>
        <v>1608000</v>
      </c>
      <c r="L15" s="142"/>
      <c r="M15" s="142">
        <v>0</v>
      </c>
      <c r="N15" s="142">
        <v>70895000</v>
      </c>
      <c r="O15" s="141">
        <f t="shared" si="0"/>
        <v>251833430</v>
      </c>
      <c r="P15" s="142">
        <v>187574680</v>
      </c>
      <c r="Q15" s="142">
        <v>52849000</v>
      </c>
      <c r="R15" s="142">
        <v>6000000</v>
      </c>
      <c r="S15" s="142"/>
      <c r="T15" s="142"/>
      <c r="U15" s="142"/>
      <c r="V15" s="142">
        <v>192600</v>
      </c>
      <c r="W15" s="142">
        <v>1424250</v>
      </c>
      <c r="X15" s="142">
        <f>2835900+(30*31900)</f>
        <v>3792900</v>
      </c>
      <c r="Y15" s="141">
        <f t="shared" si="1"/>
        <v>9852250</v>
      </c>
      <c r="Z15" s="141">
        <f t="shared" si="3"/>
        <v>3448287.5</v>
      </c>
      <c r="AA15" s="143">
        <f t="shared" si="4"/>
        <v>6403962.5</v>
      </c>
      <c r="AB15" s="144"/>
      <c r="AC15" s="145">
        <f>L18-AC16</f>
        <v>34173750</v>
      </c>
      <c r="AD15" s="146">
        <v>30</v>
      </c>
      <c r="AF15" s="145">
        <f t="shared" si="6"/>
        <v>30</v>
      </c>
    </row>
    <row r="16" spans="1:32" ht="18.75">
      <c r="A16" s="107">
        <v>8</v>
      </c>
      <c r="B16" s="108" t="s">
        <v>156</v>
      </c>
      <c r="C16" s="109">
        <v>1715</v>
      </c>
      <c r="D16" s="109">
        <f>'[1]TYT xã _2020_Quý IV (4)'!D16+'[1]TYT xã _2020_Quý III (3)'!D16+'[1]TYT xã _2020_Quý II (2)'!D16+'[1]TYT xã _2020_Quý I'!D16</f>
        <v>0</v>
      </c>
      <c r="E16" s="110">
        <f t="shared" si="2"/>
        <v>139170351</v>
      </c>
      <c r="F16" s="111">
        <v>0</v>
      </c>
      <c r="G16" s="111">
        <v>87266713</v>
      </c>
      <c r="H16" s="111">
        <v>1976800</v>
      </c>
      <c r="I16" s="111">
        <v>13338</v>
      </c>
      <c r="J16" s="111">
        <v>1340000</v>
      </c>
      <c r="K16" s="111">
        <f>20*53600</f>
        <v>1072000</v>
      </c>
      <c r="L16" s="111"/>
      <c r="M16" s="111">
        <v>504000</v>
      </c>
      <c r="N16" s="111">
        <v>46997500</v>
      </c>
      <c r="O16" s="110">
        <f t="shared" si="0"/>
        <v>132265183</v>
      </c>
      <c r="P16" s="111">
        <v>87266713</v>
      </c>
      <c r="Q16" s="111">
        <v>35621700</v>
      </c>
      <c r="R16" s="111">
        <v>5400000</v>
      </c>
      <c r="S16" s="111"/>
      <c r="T16" s="111"/>
      <c r="U16" s="111"/>
      <c r="V16" s="111">
        <v>323400</v>
      </c>
      <c r="W16" s="111">
        <v>1209870</v>
      </c>
      <c r="X16" s="112">
        <f>1805500+(20*31900)</f>
        <v>2443500</v>
      </c>
      <c r="Y16" s="110">
        <f t="shared" si="1"/>
        <v>6905168</v>
      </c>
      <c r="Z16" s="110">
        <f t="shared" si="3"/>
        <v>2416808.7999999998</v>
      </c>
      <c r="AA16" s="136">
        <f t="shared" si="4"/>
        <v>4488359.2</v>
      </c>
      <c r="AB16" s="113"/>
      <c r="AC16" s="114">
        <f>L18*35%</f>
        <v>18401250</v>
      </c>
      <c r="AD16" s="115">
        <v>25</v>
      </c>
      <c r="AF16" s="114">
        <f t="shared" si="6"/>
        <v>20</v>
      </c>
    </row>
    <row r="17" spans="1:32" ht="18.75">
      <c r="A17" s="107">
        <v>9</v>
      </c>
      <c r="B17" s="108" t="s">
        <v>157</v>
      </c>
      <c r="C17" s="109">
        <v>2996</v>
      </c>
      <c r="D17" s="109">
        <f>'[1]TYT xã _2020_Quý IV (4)'!D17+'[1]TYT xã _2020_Quý III (3)'!D17+'[1]TYT xã _2020_Quý II (2)'!D17+'[1]TYT xã _2020_Quý I'!D17</f>
        <v>0</v>
      </c>
      <c r="E17" s="110">
        <f t="shared" si="2"/>
        <v>246892418</v>
      </c>
      <c r="F17" s="111">
        <v>0</v>
      </c>
      <c r="G17" s="111">
        <v>160291418</v>
      </c>
      <c r="H17" s="111">
        <v>618800</v>
      </c>
      <c r="I17" s="111">
        <v>0</v>
      </c>
      <c r="J17" s="111">
        <v>1983200</v>
      </c>
      <c r="K17" s="111">
        <f>30*53600</f>
        <v>1608000</v>
      </c>
      <c r="L17" s="111"/>
      <c r="M17" s="111">
        <v>56000</v>
      </c>
      <c r="N17" s="111">
        <v>82335000</v>
      </c>
      <c r="O17" s="110">
        <f t="shared" si="0"/>
        <v>240211170</v>
      </c>
      <c r="P17" s="111">
        <v>160291418</v>
      </c>
      <c r="Q17" s="111">
        <v>61515900</v>
      </c>
      <c r="R17" s="111">
        <v>6000000</v>
      </c>
      <c r="S17" s="111"/>
      <c r="T17" s="111"/>
      <c r="U17" s="111"/>
      <c r="V17" s="111">
        <v>2810300</v>
      </c>
      <c r="W17" s="111">
        <v>5185602</v>
      </c>
      <c r="X17" s="112">
        <f>3450950+(30*31900)</f>
        <v>4407950</v>
      </c>
      <c r="Y17" s="110">
        <f t="shared" si="1"/>
        <v>6681248</v>
      </c>
      <c r="Z17" s="110">
        <f t="shared" si="3"/>
        <v>2338436.7999999998</v>
      </c>
      <c r="AA17" s="136">
        <f t="shared" si="4"/>
        <v>4342811.2</v>
      </c>
      <c r="AB17" s="113"/>
      <c r="AC17" s="114">
        <f t="shared" si="5"/>
        <v>37</v>
      </c>
      <c r="AD17" s="115">
        <v>37</v>
      </c>
      <c r="AF17" s="114">
        <f t="shared" si="6"/>
        <v>30</v>
      </c>
    </row>
    <row r="18" spans="1:32" ht="18.75">
      <c r="A18" s="107">
        <v>10</v>
      </c>
      <c r="B18" s="108" t="s">
        <v>158</v>
      </c>
      <c r="C18" s="109">
        <v>2463</v>
      </c>
      <c r="D18" s="109">
        <f>'[1]TYT xã _2020_Quý IV (4)'!D18+'[1]TYT xã _2020_Quý III (3)'!D18+'[1]TYT xã _2020_Quý II (2)'!D18+'[1]TYT xã _2020_Quý I'!D18</f>
        <v>0</v>
      </c>
      <c r="E18" s="110">
        <f t="shared" si="2"/>
        <v>266394569</v>
      </c>
      <c r="F18" s="111">
        <v>0</v>
      </c>
      <c r="G18" s="111">
        <v>139843369</v>
      </c>
      <c r="H18" s="111">
        <v>0</v>
      </c>
      <c r="I18" s="111">
        <v>0</v>
      </c>
      <c r="J18" s="111">
        <v>3805600</v>
      </c>
      <c r="K18" s="111">
        <f>46*53600</f>
        <v>2465600</v>
      </c>
      <c r="L18" s="111">
        <f>52575000</f>
        <v>52575000</v>
      </c>
      <c r="M18" s="111">
        <v>0</v>
      </c>
      <c r="N18" s="111">
        <v>67705000</v>
      </c>
      <c r="O18" s="110">
        <f t="shared" si="0"/>
        <v>221255589</v>
      </c>
      <c r="P18" s="111">
        <v>139843369</v>
      </c>
      <c r="Q18" s="111">
        <v>50471000</v>
      </c>
      <c r="R18" s="111">
        <v>6000000</v>
      </c>
      <c r="S18" s="111">
        <v>3000000</v>
      </c>
      <c r="T18" s="111"/>
      <c r="U18" s="111">
        <v>10833000</v>
      </c>
      <c r="V18" s="111">
        <v>2021600</v>
      </c>
      <c r="W18" s="111">
        <v>4285720</v>
      </c>
      <c r="X18" s="112">
        <f>3333500+(46*31900)</f>
        <v>4800900</v>
      </c>
      <c r="Y18" s="110">
        <f t="shared" si="1"/>
        <v>45138980</v>
      </c>
      <c r="Z18" s="110">
        <f t="shared" si="3"/>
        <v>15798642.999999998</v>
      </c>
      <c r="AA18" s="136">
        <f t="shared" si="4"/>
        <v>29340337</v>
      </c>
      <c r="AB18" s="113"/>
      <c r="AC18" s="111">
        <v>29340337</v>
      </c>
      <c r="AD18" s="115">
        <v>71</v>
      </c>
      <c r="AF18" s="114">
        <f t="shared" si="6"/>
        <v>46</v>
      </c>
    </row>
    <row r="19" spans="1:32" ht="18.75">
      <c r="A19" s="107">
        <v>11</v>
      </c>
      <c r="B19" s="108" t="s">
        <v>159</v>
      </c>
      <c r="C19" s="109">
        <v>1500</v>
      </c>
      <c r="D19" s="109">
        <f>'[1]TYT xã _2020_Quý IV (4)'!D19+'[1]TYT xã _2020_Quý III (3)'!D19+'[1]TYT xã _2020_Quý II (2)'!D19+'[1]TYT xã _2020_Quý I'!D19</f>
        <v>0</v>
      </c>
      <c r="E19" s="110">
        <f t="shared" si="2"/>
        <v>122920254</v>
      </c>
      <c r="F19" s="111">
        <v>0</v>
      </c>
      <c r="G19" s="111">
        <v>80383854</v>
      </c>
      <c r="H19" s="111">
        <v>0</v>
      </c>
      <c r="I19" s="111">
        <v>0</v>
      </c>
      <c r="J19" s="111">
        <v>857600</v>
      </c>
      <c r="K19" s="111">
        <f>8*53600</f>
        <v>428800</v>
      </c>
      <c r="L19" s="111"/>
      <c r="M19" s="111">
        <v>0</v>
      </c>
      <c r="N19" s="111">
        <v>41250000</v>
      </c>
      <c r="O19" s="110">
        <f t="shared" si="0"/>
        <v>122126215</v>
      </c>
      <c r="P19" s="111">
        <v>80383854</v>
      </c>
      <c r="Q19" s="111">
        <v>30750000</v>
      </c>
      <c r="R19" s="111">
        <v>5000000</v>
      </c>
      <c r="S19" s="111"/>
      <c r="T19" s="111"/>
      <c r="U19" s="111"/>
      <c r="V19" s="111">
        <v>655860</v>
      </c>
      <c r="W19" s="111">
        <v>3535051</v>
      </c>
      <c r="X19" s="112">
        <f>1546250+(8*31900)</f>
        <v>1801450</v>
      </c>
      <c r="Y19" s="110">
        <f t="shared" si="1"/>
        <v>794039</v>
      </c>
      <c r="Z19" s="110">
        <f t="shared" si="3"/>
        <v>277913.64999999997</v>
      </c>
      <c r="AA19" s="136">
        <f t="shared" si="4"/>
        <v>516125.35000000003</v>
      </c>
      <c r="AB19" s="113"/>
      <c r="AC19" s="114">
        <v>2208037</v>
      </c>
      <c r="AD19" s="115">
        <v>16</v>
      </c>
      <c r="AF19" s="114">
        <f t="shared" si="6"/>
        <v>8</v>
      </c>
    </row>
    <row r="20" spans="1:32" s="147" customFormat="1" ht="18.75">
      <c r="A20" s="138">
        <v>12</v>
      </c>
      <c r="B20" s="139" t="s">
        <v>160</v>
      </c>
      <c r="C20" s="140">
        <v>1439</v>
      </c>
      <c r="D20" s="140">
        <f>'[1]TYT xã _2020_Quý IV (4)'!D20+'[1]TYT xã _2020_Quý III (3)'!D20+'[1]TYT xã _2020_Quý II (2)'!D20+'[1]TYT xã _2020_Quý I'!D20</f>
        <v>0</v>
      </c>
      <c r="E20" s="141">
        <f t="shared" si="2"/>
        <v>120101138</v>
      </c>
      <c r="F20" s="142">
        <v>0</v>
      </c>
      <c r="G20" s="142">
        <v>75544838</v>
      </c>
      <c r="H20" s="142">
        <v>2912700</v>
      </c>
      <c r="I20" s="142">
        <v>0</v>
      </c>
      <c r="J20" s="142">
        <v>857600</v>
      </c>
      <c r="K20" s="142">
        <f>20*53600</f>
        <v>1072000</v>
      </c>
      <c r="L20" s="142"/>
      <c r="M20" s="142">
        <v>224000</v>
      </c>
      <c r="N20" s="142">
        <v>39490000</v>
      </c>
      <c r="O20" s="141">
        <f t="shared" si="0"/>
        <v>114810808</v>
      </c>
      <c r="P20" s="142">
        <v>75544838</v>
      </c>
      <c r="Q20" s="142">
        <v>30034900</v>
      </c>
      <c r="R20" s="142">
        <v>5500000</v>
      </c>
      <c r="S20" s="142"/>
      <c r="T20" s="142"/>
      <c r="U20" s="142"/>
      <c r="V20" s="142">
        <v>119100</v>
      </c>
      <c r="W20" s="142">
        <v>1778470</v>
      </c>
      <c r="X20" s="142">
        <f>1195500+(20*31900)</f>
        <v>1833500</v>
      </c>
      <c r="Y20" s="141">
        <f t="shared" si="1"/>
        <v>5290330</v>
      </c>
      <c r="Z20" s="141">
        <f t="shared" si="3"/>
        <v>1851615.4999999998</v>
      </c>
      <c r="AA20" s="143">
        <f t="shared" si="4"/>
        <v>3438714.5</v>
      </c>
      <c r="AB20" s="144"/>
      <c r="AC20" s="145">
        <f t="shared" si="5"/>
        <v>16</v>
      </c>
      <c r="AD20" s="146">
        <v>0</v>
      </c>
      <c r="AF20" s="145">
        <f t="shared" si="6"/>
        <v>20</v>
      </c>
    </row>
    <row r="21" spans="1:32" ht="18.75">
      <c r="A21" s="116"/>
      <c r="B21" s="117" t="s">
        <v>161</v>
      </c>
      <c r="C21" s="118">
        <f>SUM(C9:C20)</f>
        <v>24584</v>
      </c>
      <c r="D21" s="118">
        <f t="shared" ref="D21" si="7">SUM(D9:D20)</f>
        <v>0</v>
      </c>
      <c r="E21" s="119">
        <f>SUM(E9:E20)</f>
        <v>2256995832</v>
      </c>
      <c r="F21" s="119">
        <f t="shared" ref="F21:AA21" si="8">SUM(F9:F20)</f>
        <v>0</v>
      </c>
      <c r="G21" s="119">
        <f t="shared" si="8"/>
        <v>1423234756</v>
      </c>
      <c r="H21" s="119">
        <f t="shared" si="8"/>
        <v>9713900</v>
      </c>
      <c r="I21" s="119">
        <f t="shared" si="8"/>
        <v>254276</v>
      </c>
      <c r="J21" s="119">
        <f t="shared" si="8"/>
        <v>24924000</v>
      </c>
      <c r="K21" s="119">
        <f t="shared" si="8"/>
        <v>33982400</v>
      </c>
      <c r="L21" s="119">
        <f t="shared" si="8"/>
        <v>86695000</v>
      </c>
      <c r="M21" s="119">
        <f t="shared" si="8"/>
        <v>3864000</v>
      </c>
      <c r="N21" s="119">
        <f t="shared" si="8"/>
        <v>674327500</v>
      </c>
      <c r="O21" s="119">
        <f t="shared" si="8"/>
        <v>2135198206</v>
      </c>
      <c r="P21" s="119">
        <f t="shared" si="8"/>
        <v>1423234756</v>
      </c>
      <c r="Q21" s="119">
        <f t="shared" si="8"/>
        <v>505976500</v>
      </c>
      <c r="R21" s="119">
        <f t="shared" si="8"/>
        <v>63000000</v>
      </c>
      <c r="S21" s="119">
        <f t="shared" si="8"/>
        <v>6000000</v>
      </c>
      <c r="T21" s="119">
        <f t="shared" si="8"/>
        <v>0</v>
      </c>
      <c r="U21" s="119">
        <f t="shared" si="8"/>
        <v>44953000</v>
      </c>
      <c r="V21" s="119">
        <f t="shared" si="8"/>
        <v>9892180</v>
      </c>
      <c r="W21" s="119">
        <f t="shared" si="8"/>
        <v>27570850</v>
      </c>
      <c r="X21" s="119">
        <f t="shared" si="8"/>
        <v>54570920</v>
      </c>
      <c r="Y21" s="119">
        <f t="shared" si="8"/>
        <v>121797626</v>
      </c>
      <c r="Z21" s="119">
        <f t="shared" si="8"/>
        <v>42629169.099999994</v>
      </c>
      <c r="AA21" s="137">
        <f t="shared" si="8"/>
        <v>79168456.900000006</v>
      </c>
      <c r="AB21" s="113"/>
      <c r="AC21" s="120"/>
    </row>
    <row r="22" spans="1:32" s="121" customFormat="1" ht="19.5">
      <c r="B22" s="121" t="s">
        <v>162</v>
      </c>
      <c r="N22" s="122"/>
      <c r="W22" s="123"/>
    </row>
    <row r="23" spans="1:32" s="124" customFormat="1" ht="18.75">
      <c r="H23" s="125"/>
      <c r="L23" s="111"/>
      <c r="V23" s="124" t="s">
        <v>163</v>
      </c>
    </row>
    <row r="24" spans="1:32" s="126" customFormat="1" ht="18.75">
      <c r="B24" s="127" t="s">
        <v>164</v>
      </c>
      <c r="D24" s="127" t="s">
        <v>164</v>
      </c>
      <c r="N24" s="127" t="s">
        <v>165</v>
      </c>
      <c r="Q24" s="128"/>
      <c r="R24" s="128"/>
      <c r="S24" s="128"/>
      <c r="T24" s="128"/>
      <c r="U24" s="128"/>
      <c r="V24" s="129"/>
      <c r="W24" s="129"/>
      <c r="X24" s="126" t="s">
        <v>166</v>
      </c>
      <c r="Z24" s="129"/>
    </row>
    <row r="25" spans="1:32">
      <c r="B25" s="130" t="s">
        <v>167</v>
      </c>
      <c r="D25" s="130" t="s">
        <v>167</v>
      </c>
      <c r="N25" s="130" t="s">
        <v>167</v>
      </c>
      <c r="O25" s="130"/>
      <c r="X25" s="131" t="s">
        <v>168</v>
      </c>
      <c r="Y25" s="131"/>
    </row>
    <row r="26" spans="1:32">
      <c r="G26" s="114"/>
    </row>
    <row r="27" spans="1:32" ht="18.75">
      <c r="L27" s="111">
        <v>52575000</v>
      </c>
      <c r="M27" s="111">
        <v>0</v>
      </c>
      <c r="N27" s="111">
        <v>67705000</v>
      </c>
      <c r="O27" s="110">
        <v>221255589</v>
      </c>
      <c r="P27" s="111">
        <v>139843369</v>
      </c>
      <c r="Q27" s="111">
        <v>50471000</v>
      </c>
      <c r="R27" s="111">
        <v>6000000</v>
      </c>
      <c r="S27" s="111">
        <v>3000000</v>
      </c>
      <c r="T27" s="111"/>
      <c r="U27" s="111">
        <v>10833000</v>
      </c>
      <c r="V27" s="111">
        <v>2021600</v>
      </c>
      <c r="W27" s="111">
        <v>4285720</v>
      </c>
      <c r="X27" s="112">
        <v>4800900</v>
      </c>
      <c r="Y27" s="110">
        <v>45138980</v>
      </c>
      <c r="Z27" s="110">
        <v>15798642.999999998</v>
      </c>
      <c r="AA27" s="136">
        <v>29340337</v>
      </c>
    </row>
    <row r="28" spans="1:32" ht="18.75">
      <c r="L28" s="111">
        <f>L27-U27</f>
        <v>41742000</v>
      </c>
      <c r="M28" s="111"/>
      <c r="N28" s="111">
        <f>L29</f>
        <v>14609700</v>
      </c>
      <c r="O28" s="110"/>
      <c r="P28" s="111"/>
      <c r="Q28" s="111"/>
      <c r="R28" s="111"/>
      <c r="S28" s="111"/>
      <c r="T28" s="111"/>
      <c r="U28" s="111"/>
      <c r="V28" s="111"/>
      <c r="W28" s="111"/>
      <c r="X28" s="112"/>
      <c r="Y28" s="110"/>
      <c r="Z28" s="110"/>
      <c r="AA28" s="136"/>
    </row>
    <row r="29" spans="1:32">
      <c r="L29" s="114">
        <f>L28*35%</f>
        <v>14609700</v>
      </c>
    </row>
  </sheetData>
  <mergeCells count="12">
    <mergeCell ref="O6:O7"/>
    <mergeCell ref="P6:X6"/>
    <mergeCell ref="Y6:Y7"/>
    <mergeCell ref="Z6:Z7"/>
    <mergeCell ref="AA6:AA7"/>
    <mergeCell ref="AB6:AB7"/>
    <mergeCell ref="A6:A7"/>
    <mergeCell ref="B6:B7"/>
    <mergeCell ref="C6:C7"/>
    <mergeCell ref="D6:D7"/>
    <mergeCell ref="E6:E7"/>
    <mergeCell ref="F6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TNTT 2020 (Xã)</vt:lpstr>
      <vt:lpstr>QT năm 2020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LEHUUNGOC</dc:creator>
  <cp:lastModifiedBy>LEHUUNGOC</cp:lastModifiedBy>
  <dcterms:created xsi:type="dcterms:W3CDTF">2021-02-07T01:49:28Z</dcterms:created>
  <dcterms:modified xsi:type="dcterms:W3CDTF">2021-02-07T03:39:48Z</dcterms:modified>
</cp:coreProperties>
</file>