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SổlàmviệcNày"/>
  <bookViews>
    <workbookView xWindow="-105" yWindow="-105" windowWidth="23250" windowHeight="12570" tabRatio="574"/>
  </bookViews>
  <sheets>
    <sheet name="TYT xã _2020_ Tổng hợp" sheetId="49" r:id="rId1"/>
    <sheet name="TYT xã _2020)" sheetId="43" r:id="rId2"/>
    <sheet name="TYT xã _2020_Quý IV (4)" sheetId="42" r:id="rId3"/>
    <sheet name="TYT xã _2020_Quý III (3)" sheetId="41" r:id="rId4"/>
    <sheet name="TYT xã _2020_Quý II (2)" sheetId="40" r:id="rId5"/>
    <sheet name="TYT xã _2020_Quý I" sheetId="39" r:id="rId6"/>
    <sheet name="Thưởng 30.4" sheetId="50" r:id="rId7"/>
    <sheet name="Thưởng 02.9" sheetId="51" r:id="rId8"/>
    <sheet name="Q3.2020" sheetId="47" r:id="rId9"/>
    <sheet name="Q2.2020" sheetId="46" r:id="rId10"/>
    <sheet name="Q1.2020" sheetId="45" r:id="rId11"/>
    <sheet name="Q4.2019" sheetId="44" r:id="rId12"/>
    <sheet name="QT2019 BHYT (2)" sheetId="32" r:id="rId13"/>
  </sheets>
  <definedNames>
    <definedName name="__IntlFixup" hidden="1">TRUE</definedName>
    <definedName name="__xlfn_FINV">NA()</definedName>
    <definedName name="_a1" hidden="1">{"'Sheet1'!$L$16"}</definedName>
    <definedName name="_Builtin0" localSheetId="12" hidden="1">#REF!</definedName>
    <definedName name="_Builtin0" localSheetId="1" hidden="1">#REF!</definedName>
    <definedName name="_Builtin0" localSheetId="0" hidden="1">#REF!</definedName>
    <definedName name="_Builtin0" localSheetId="5" hidden="1">#REF!</definedName>
    <definedName name="_Builtin0" localSheetId="4" hidden="1">#REF!</definedName>
    <definedName name="_Builtin0" localSheetId="3" hidden="1">#REF!</definedName>
    <definedName name="_Builtin0" localSheetId="2" hidden="1">#REF!</definedName>
    <definedName name="_Builtin0" hidden="1">#REF!</definedName>
    <definedName name="_Fill" localSheetId="12" hidden="1">#REF!</definedName>
    <definedName name="_Fill" localSheetId="1" hidden="1">#REF!</definedName>
    <definedName name="_Fill" localSheetId="0" hidden="1">#REF!</definedName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12" hidden="1">#REF!</definedName>
    <definedName name="_xlnm._FilterDatabase" localSheetId="1" hidden="1">#REF!</definedName>
    <definedName name="_xlnm._FilterDatabase" localSheetId="0" hidden="1">#REF!</definedName>
    <definedName name="_xlnm._FilterDatabase" localSheetId="5" hidden="1">#REF!</definedName>
    <definedName name="_xlnm._FilterDatabase" localSheetId="4" hidden="1">#REF!</definedName>
    <definedName name="_xlnm._FilterDatabase" localSheetId="3" hidden="1">#REF!</definedName>
    <definedName name="_xlnm._FilterDatabase" localSheetId="2" hidden="1">#REF!</definedName>
    <definedName name="_xlnm._FilterDatabase" localSheetId="7" hidden="1">'Thưởng 02.9'!$A$9:$BZ$89</definedName>
    <definedName name="_xlnm._FilterDatabase" hidden="1">#REF!</definedName>
    <definedName name="_Key1" localSheetId="12" hidden="1">#REF!</definedName>
    <definedName name="_Key1" localSheetId="1" hidden="1">#REF!</definedName>
    <definedName name="_Key1" localSheetId="0" hidden="1">#REF!</definedName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#REF!</definedName>
    <definedName name="_Key1" hidden="1">#REF!</definedName>
    <definedName name="_Key2" localSheetId="12" hidden="1">#REF!</definedName>
    <definedName name="_Key2" localSheetId="1" hidden="1">#REF!</definedName>
    <definedName name="_Key2" localSheetId="0" hidden="1">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hidden="1">#REF!</definedName>
    <definedName name="_NSO2" hidden="1">{"'Sheet1'!$L$16"}</definedName>
    <definedName name="_Order1" hidden="1">255</definedName>
    <definedName name="_Order2" hidden="1">255</definedName>
    <definedName name="_Sort" localSheetId="12" hidden="1">#REF!</definedName>
    <definedName name="_Sort" localSheetId="1" hidden="1">#REF!</definedName>
    <definedName name="_Sort" localSheetId="0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hidden="1">#REF!</definedName>
    <definedName name="_T01" localSheetId="12" hidden="1">#REF!</definedName>
    <definedName name="_T01" localSheetId="1" hidden="1">#REF!</definedName>
    <definedName name="_T01" localSheetId="0" hidden="1">#REF!</definedName>
    <definedName name="_T01" localSheetId="5" hidden="1">#REF!</definedName>
    <definedName name="_T01" localSheetId="4" hidden="1">#REF!</definedName>
    <definedName name="_T01" localSheetId="3" hidden="1">#REF!</definedName>
    <definedName name="_T01" localSheetId="2" hidden="1">#REF!</definedName>
    <definedName name="_T01" hidden="1">#REF!</definedName>
    <definedName name="_t1" hidden="1">{"'Sheet1'!$L$16"}</definedName>
    <definedName name="ABC" hidden="1">{"'Sheet1'!$L$16"}</definedName>
    <definedName name="AccessDatabase" hidden="1">"C:\Documents and Settings\trong.tran\My Documents\Phieu thu chi.mdb"</definedName>
    <definedName name="binh" hidden="1">{"'Sheet1'!$L$16"}</definedName>
    <definedName name="data1" localSheetId="12" hidden="1">#REF!</definedName>
    <definedName name="data1" localSheetId="1" hidden="1">#REF!</definedName>
    <definedName name="data1" localSheetId="0" hidden="1">#REF!</definedName>
    <definedName name="data1" localSheetId="5" hidden="1">#REF!</definedName>
    <definedName name="data1" localSheetId="4" hidden="1">#REF!</definedName>
    <definedName name="data1" localSheetId="3" hidden="1">#REF!</definedName>
    <definedName name="data1" localSheetId="2" hidden="1">#REF!</definedName>
    <definedName name="data1" hidden="1">#REF!</definedName>
    <definedName name="data2" localSheetId="12" hidden="1">#REF!</definedName>
    <definedName name="data2" localSheetId="1" hidden="1">#REF!</definedName>
    <definedName name="data2" localSheetId="0" hidden="1">#REF!</definedName>
    <definedName name="data2" localSheetId="5" hidden="1">#REF!</definedName>
    <definedName name="data2" localSheetId="4" hidden="1">#REF!</definedName>
    <definedName name="data2" localSheetId="3" hidden="1">#REF!</definedName>
    <definedName name="data2" localSheetId="2" hidden="1">#REF!</definedName>
    <definedName name="data2" hidden="1">#REF!</definedName>
    <definedName name="data3" localSheetId="12" hidden="1">#REF!</definedName>
    <definedName name="data3" localSheetId="1" hidden="1">#REF!</definedName>
    <definedName name="data3" localSheetId="0" hidden="1">#REF!</definedName>
    <definedName name="data3" localSheetId="5" hidden="1">#REF!</definedName>
    <definedName name="data3" localSheetId="4" hidden="1">#REF!</definedName>
    <definedName name="data3" localSheetId="3" hidden="1">#REF!</definedName>
    <definedName name="data3" localSheetId="2" hidden="1">#REF!</definedName>
    <definedName name="data3" hidden="1">#REF!</definedName>
    <definedName name="dfghdg" hidden="1">{"'Sheet1'!$L$16"}</definedName>
    <definedName name="Discount" localSheetId="12" hidden="1">#REF!</definedName>
    <definedName name="Discount" localSheetId="1" hidden="1">#REF!</definedName>
    <definedName name="Discount" localSheetId="0" hidden="1">#REF!</definedName>
    <definedName name="Discount" localSheetId="5" hidden="1">#REF!</definedName>
    <definedName name="Discount" localSheetId="4" hidden="1">#REF!</definedName>
    <definedName name="Discount" localSheetId="3" hidden="1">#REF!</definedName>
    <definedName name="Discount" localSheetId="2" hidden="1">#REF!</definedName>
    <definedName name="Discount" hidden="1">#REF!</definedName>
    <definedName name="display_area_2" localSheetId="12" hidden="1">#REF!</definedName>
    <definedName name="display_area_2" localSheetId="1" hidden="1">#REF!</definedName>
    <definedName name="display_area_2" localSheetId="0" hidden="1">#REF!</definedName>
    <definedName name="display_area_2" localSheetId="5" hidden="1">#REF!</definedName>
    <definedName name="display_area_2" localSheetId="4" hidden="1">#REF!</definedName>
    <definedName name="display_area_2" localSheetId="3" hidden="1">#REF!</definedName>
    <definedName name="display_area_2" localSheetId="2" hidden="1">#REF!</definedName>
    <definedName name="display_area_2" hidden="1">#REF!</definedName>
    <definedName name="ds" hidden="1">{#N/A,#N/A,FALSE,"Chi tiÆt"}</definedName>
    <definedName name="DSDL" hidden="1">{"'Sheet1'!$L$16"}</definedName>
    <definedName name="dsvadgfa" hidden="1">{#N/A,#N/A,FALSE,"Chi tiÆt"}</definedName>
    <definedName name="ExactAddinReports" hidden="1">1</definedName>
    <definedName name="F6A" hidden="1">{"'Sheet1'!$L$16"}</definedName>
    <definedName name="F6B" hidden="1">{"'Sheet1'!$L$16"}</definedName>
    <definedName name="FCode" localSheetId="12" hidden="1">#REF!</definedName>
    <definedName name="FCode" localSheetId="1" hidden="1">#REF!</definedName>
    <definedName name="FCode" localSheetId="0" hidden="1">#REF!</definedName>
    <definedName name="FCode" localSheetId="5" hidden="1">#REF!</definedName>
    <definedName name="FCode" localSheetId="4" hidden="1">#REF!</definedName>
    <definedName name="FCode" localSheetId="3" hidden="1">#REF!</definedName>
    <definedName name="FCode" localSheetId="2" hidden="1">#REF!</definedName>
    <definedName name="FCode" hidden="1">#REF!</definedName>
    <definedName name="GHHHS" hidden="1">{"'Sheet1'!$L$16"}</definedName>
    <definedName name="hanh" hidden="1">{"'Sheet1'!$L$16"}</definedName>
    <definedName name="HiddenRows" localSheetId="12" hidden="1">#REF!</definedName>
    <definedName name="HiddenRows" localSheetId="1" hidden="1">#REF!</definedName>
    <definedName name="HiddenRows" localSheetId="0" hidden="1">#REF!</definedName>
    <definedName name="HiddenRows" localSheetId="5" hidden="1">#REF!</definedName>
    <definedName name="HiddenRows" localSheetId="4" hidden="1">#REF!</definedName>
    <definedName name="HiddenRows" localSheetId="3" hidden="1">#REF!</definedName>
    <definedName name="HiddenRows" localSheetId="2" hidden="1">#REF!</definedName>
    <definedName name="HiddenRows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Title" hidden="1">"00Q3961-SUM"</definedName>
    <definedName name="huy" hidden="1">{"'Sheet1'!$L$16"}</definedName>
    <definedName name="lan" hidden="1">{#N/A,#N/A,TRUE,"BT M200 da 10x20"}</definedName>
    <definedName name="LOCAL_DATE_SEPARATOR">NA()</definedName>
    <definedName name="LOCAL_DAY_FORMAT">NA()</definedName>
    <definedName name="LOCAL_HOUR_FORMAT">NA()</definedName>
    <definedName name="LOCAL_MINUTE_FORMAT">NA()</definedName>
    <definedName name="LOCAL_MONTH_FORMAT">NA()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>NA()</definedName>
    <definedName name="LOCAL_TIME_SEPARATOR">NA()</definedName>
    <definedName name="LOCAL_YEAR_FORMAT">NA()</definedName>
    <definedName name="Nam" localSheetId="12" hidden="1">#REF!</definedName>
    <definedName name="Nam" localSheetId="1" hidden="1">#REF!</definedName>
    <definedName name="Nam" localSheetId="0" hidden="1">#REF!</definedName>
    <definedName name="Nam" localSheetId="5" hidden="1">#REF!</definedName>
    <definedName name="Nam" localSheetId="4" hidden="1">#REF!</definedName>
    <definedName name="Nam" localSheetId="3" hidden="1">#REF!</definedName>
    <definedName name="Nam" localSheetId="2" hidden="1">#REF!</definedName>
    <definedName name="Nam" hidden="1">#REF!</definedName>
    <definedName name="NPP" localSheetId="12" hidden="1">#REF!</definedName>
    <definedName name="NPP" localSheetId="1" hidden="1">#REF!</definedName>
    <definedName name="NPP" localSheetId="0" hidden="1">#REF!</definedName>
    <definedName name="NPP" localSheetId="5" hidden="1">#REF!</definedName>
    <definedName name="NPP" localSheetId="4" hidden="1">#REF!</definedName>
    <definedName name="NPP" localSheetId="3" hidden="1">#REF!</definedName>
    <definedName name="NPP" localSheetId="2" hidden="1">#REF!</definedName>
    <definedName name="NPP" hidden="1">#REF!</definedName>
    <definedName name="OrderTable" localSheetId="12" hidden="1">#REF!</definedName>
    <definedName name="OrderTable" localSheetId="1" hidden="1">#REF!</definedName>
    <definedName name="OrderTable" localSheetId="0" hidden="1">#REF!</definedName>
    <definedName name="OrderTable" localSheetId="5" hidden="1">#REF!</definedName>
    <definedName name="OrderTable" localSheetId="4" hidden="1">#REF!</definedName>
    <definedName name="OrderTable" localSheetId="3" hidden="1">#REF!</definedName>
    <definedName name="OrderTable" localSheetId="2" hidden="1">#REF!</definedName>
    <definedName name="OrderTable" hidden="1">#REF!</definedName>
    <definedName name="_xlnm.Print_Titles" localSheetId="7">'Thưởng 02.9'!$7:$8</definedName>
    <definedName name="ProdForm" localSheetId="12" hidden="1">#REF!</definedName>
    <definedName name="ProdForm" localSheetId="1" hidden="1">#REF!</definedName>
    <definedName name="ProdForm" localSheetId="0" hidden="1">#REF!</definedName>
    <definedName name="ProdForm" localSheetId="5" hidden="1">#REF!</definedName>
    <definedName name="ProdForm" localSheetId="4" hidden="1">#REF!</definedName>
    <definedName name="ProdForm" localSheetId="3" hidden="1">#REF!</definedName>
    <definedName name="ProdForm" localSheetId="2" hidden="1">#REF!</definedName>
    <definedName name="ProdForm" hidden="1">#REF!</definedName>
    <definedName name="Product" localSheetId="12" hidden="1">#REF!</definedName>
    <definedName name="Product" localSheetId="1" hidden="1">#REF!</definedName>
    <definedName name="Product" localSheetId="0" hidden="1">#REF!</definedName>
    <definedName name="Product" localSheetId="5" hidden="1">#REF!</definedName>
    <definedName name="Product" localSheetId="4" hidden="1">#REF!</definedName>
    <definedName name="Product" localSheetId="3" hidden="1">#REF!</definedName>
    <definedName name="Product" localSheetId="2" hidden="1">#REF!</definedName>
    <definedName name="Product" hidden="1">#REF!</definedName>
    <definedName name="RCArea" localSheetId="12" hidden="1">#REF!</definedName>
    <definedName name="RCArea" localSheetId="1" hidden="1">#REF!</definedName>
    <definedName name="RCArea" localSheetId="0" hidden="1">#REF!</definedName>
    <definedName name="RCArea" localSheetId="5" hidden="1">#REF!</definedName>
    <definedName name="RCArea" localSheetId="4" hidden="1">#REF!</definedName>
    <definedName name="RCArea" localSheetId="3" hidden="1">#REF!</definedName>
    <definedName name="RCArea" localSheetId="2" hidden="1">#REF!</definedName>
    <definedName name="RCArea" hidden="1">#REF!</definedName>
    <definedName name="SpecialPrice" localSheetId="12" hidden="1">#REF!</definedName>
    <definedName name="SpecialPrice" localSheetId="1" hidden="1">#REF!</definedName>
    <definedName name="SpecialPrice" localSheetId="0" hidden="1">#REF!</definedName>
    <definedName name="SpecialPrice" localSheetId="5" hidden="1">#REF!</definedName>
    <definedName name="SpecialPrice" localSheetId="4" hidden="1">#REF!</definedName>
    <definedName name="SpecialPrice" localSheetId="3" hidden="1">#REF!</definedName>
    <definedName name="SpecialPrice" localSheetId="2" hidden="1">#REF!</definedName>
    <definedName name="SpecialPrice" hidden="1">#REF!</definedName>
    <definedName name="tbl_ProdInfo" localSheetId="12" hidden="1">#REF!</definedName>
    <definedName name="tbl_ProdInfo" localSheetId="1" hidden="1">#REF!</definedName>
    <definedName name="tbl_ProdInfo" localSheetId="0" hidden="1">#REF!</definedName>
    <definedName name="tbl_ProdInfo" localSheetId="5" hidden="1">#REF!</definedName>
    <definedName name="tbl_ProdInfo" localSheetId="4" hidden="1">#REF!</definedName>
    <definedName name="tbl_ProdInfo" localSheetId="3" hidden="1">#REF!</definedName>
    <definedName name="tbl_ProdInfo" localSheetId="2" hidden="1">#REF!</definedName>
    <definedName name="tbl_ProdInfo" hidden="1">#REF!</definedName>
    <definedName name="TI" localSheetId="12" hidden="1">#REF!</definedName>
    <definedName name="TI" localSheetId="1" hidden="1">#REF!</definedName>
    <definedName name="TI" localSheetId="0" hidden="1">#REF!</definedName>
    <definedName name="TI" localSheetId="5" hidden="1">#REF!</definedName>
    <definedName name="TI" localSheetId="4" hidden="1">#REF!</definedName>
    <definedName name="TI" localSheetId="3" hidden="1">#REF!</definedName>
    <definedName name="TI" localSheetId="2" hidden="1">#REF!</definedName>
    <definedName name="TI" hidden="1">#REF!</definedName>
    <definedName name="THchung" localSheetId="12" hidden="1">#REF!</definedName>
    <definedName name="THchung" localSheetId="1" hidden="1">#REF!</definedName>
    <definedName name="THchung" localSheetId="0" hidden="1">#REF!</definedName>
    <definedName name="THchung" localSheetId="5" hidden="1">#REF!</definedName>
    <definedName name="THchung" localSheetId="4" hidden="1">#REF!</definedName>
    <definedName name="THchung" localSheetId="3" hidden="1">#REF!</definedName>
    <definedName name="THchung" localSheetId="2" hidden="1">#REF!</definedName>
    <definedName name="THchung" hidden="1">#REF!</definedName>
    <definedName name="ưe4rtertretre" localSheetId="12" hidden="1">#REF!</definedName>
    <definedName name="ưe4rtertretre" localSheetId="1" hidden="1">#REF!</definedName>
    <definedName name="ưe4rtertretre" localSheetId="0" hidden="1">#REF!</definedName>
    <definedName name="ưe4rtertretre" localSheetId="5" hidden="1">#REF!</definedName>
    <definedName name="ưe4rtertretre" localSheetId="4" hidden="1">#REF!</definedName>
    <definedName name="ưe4rtertretre" localSheetId="3" hidden="1">#REF!</definedName>
    <definedName name="ưe4rtertretre" localSheetId="2" hidden="1">#REF!</definedName>
    <definedName name="ưe4rtertretre" hidden="1">#REF!</definedName>
    <definedName name="wrn.BAOCAO." hidden="1">{#N/A,#N/A,FALSE,"sum";#N/A,#N/A,FALSE,"MARTV";#N/A,#N/A,FALSE,"APRTV"}</definedName>
    <definedName name="wrn.chi._.tiÆt." hidden="1">{#N/A,#N/A,FALSE,"Chi tiÆt"}</definedName>
    <definedName name="wrn.vd." hidden="1">{#N/A,#N/A,TRUE,"BT M200 da 10x20"}</definedName>
  </definedNames>
  <calcPr calcId="145621"/>
</workbook>
</file>

<file path=xl/calcChain.xml><?xml version="1.0" encoding="utf-8"?>
<calcChain xmlns="http://schemas.openxmlformats.org/spreadsheetml/2006/main">
  <c r="T21" i="49" l="1"/>
  <c r="U21" i="49"/>
  <c r="L21" i="49"/>
  <c r="S21" i="49"/>
  <c r="R21" i="49"/>
  <c r="D85" i="51"/>
  <c r="D84" i="51"/>
  <c r="D83" i="51"/>
  <c r="D82" i="51"/>
  <c r="D81" i="51"/>
  <c r="D80" i="51"/>
  <c r="D79" i="51"/>
  <c r="D78" i="51"/>
  <c r="D77" i="51"/>
  <c r="D76" i="51"/>
  <c r="D74" i="51" s="1"/>
  <c r="D75" i="51"/>
  <c r="D73" i="51"/>
  <c r="D72" i="51"/>
  <c r="D71" i="51"/>
  <c r="D70" i="51"/>
  <c r="D69" i="51"/>
  <c r="D68" i="51"/>
  <c r="D67" i="51" s="1"/>
  <c r="D66" i="51"/>
  <c r="D65" i="51"/>
  <c r="D64" i="51"/>
  <c r="D63" i="51"/>
  <c r="D62" i="51"/>
  <c r="D61" i="51"/>
  <c r="D60" i="51"/>
  <c r="D59" i="51"/>
  <c r="D58" i="51"/>
  <c r="D57" i="51"/>
  <c r="D56" i="51"/>
  <c r="D55" i="51"/>
  <c r="IV55" i="51" s="1"/>
  <c r="D54" i="51"/>
  <c r="D53" i="51"/>
  <c r="D52" i="51"/>
  <c r="D51" i="51"/>
  <c r="D50" i="51"/>
  <c r="D49" i="51"/>
  <c r="D48" i="51" s="1"/>
  <c r="D47" i="51"/>
  <c r="D46" i="51"/>
  <c r="D43" i="51"/>
  <c r="D41" i="51" s="1"/>
  <c r="D42" i="51"/>
  <c r="D40" i="51"/>
  <c r="D39" i="51"/>
  <c r="D37" i="51"/>
  <c r="D36" i="51"/>
  <c r="D35" i="51"/>
  <c r="D34" i="51"/>
  <c r="D33" i="51"/>
  <c r="D32" i="51"/>
  <c r="D31" i="51"/>
  <c r="D30" i="51"/>
  <c r="D29" i="51" s="1"/>
  <c r="D28" i="51"/>
  <c r="D26" i="51"/>
  <c r="D25" i="51"/>
  <c r="D24" i="51"/>
  <c r="D23" i="51"/>
  <c r="D22" i="51" s="1"/>
  <c r="D21" i="51"/>
  <c r="D20" i="51"/>
  <c r="D19" i="51"/>
  <c r="D18" i="51"/>
  <c r="D17" i="51"/>
  <c r="D16" i="51"/>
  <c r="D15" i="51"/>
  <c r="D14" i="51"/>
  <c r="D13" i="51"/>
  <c r="D12" i="51"/>
  <c r="D11" i="51"/>
  <c r="D9" i="51" s="1"/>
  <c r="D86" i="50"/>
  <c r="D85" i="50"/>
  <c r="D84" i="50"/>
  <c r="D83" i="50"/>
  <c r="D82" i="50"/>
  <c r="D81" i="50"/>
  <c r="C80" i="50"/>
  <c r="D80" i="50" s="1"/>
  <c r="IV80" i="50" s="1"/>
  <c r="D79" i="50"/>
  <c r="D78" i="50"/>
  <c r="D77" i="50"/>
  <c r="D76" i="50"/>
  <c r="D75" i="50"/>
  <c r="D74" i="50"/>
  <c r="C74" i="50"/>
  <c r="D73" i="50"/>
  <c r="D72" i="50"/>
  <c r="D71" i="50"/>
  <c r="D70" i="50"/>
  <c r="D69" i="50"/>
  <c r="D68" i="50"/>
  <c r="D67" i="50"/>
  <c r="C67" i="50"/>
  <c r="D66" i="50"/>
  <c r="D65" i="50"/>
  <c r="D64" i="50"/>
  <c r="D63" i="50"/>
  <c r="C62" i="50"/>
  <c r="D62" i="50" s="1"/>
  <c r="D61" i="50"/>
  <c r="D60" i="50"/>
  <c r="D59" i="50"/>
  <c r="D58" i="50"/>
  <c r="D57" i="50"/>
  <c r="D56" i="50"/>
  <c r="C55" i="50"/>
  <c r="D55" i="50" s="1"/>
  <c r="IV55" i="50" s="1"/>
  <c r="D54" i="50"/>
  <c r="D52" i="50"/>
  <c r="D51" i="50"/>
  <c r="D50" i="50"/>
  <c r="D49" i="50"/>
  <c r="C48" i="50"/>
  <c r="D48" i="50" s="1"/>
  <c r="D47" i="50"/>
  <c r="D46" i="50"/>
  <c r="D45" i="50"/>
  <c r="D44" i="50"/>
  <c r="D43" i="50"/>
  <c r="D42" i="50"/>
  <c r="C41" i="50"/>
  <c r="D41" i="50" s="1"/>
  <c r="D40" i="50"/>
  <c r="D39" i="50"/>
  <c r="D38" i="50"/>
  <c r="D37" i="50"/>
  <c r="D36" i="50"/>
  <c r="C36" i="50"/>
  <c r="D35" i="50"/>
  <c r="D34" i="50"/>
  <c r="D33" i="50"/>
  <c r="D32" i="50"/>
  <c r="D31" i="50"/>
  <c r="D30" i="50"/>
  <c r="D29" i="50"/>
  <c r="C29" i="50"/>
  <c r="D28" i="50"/>
  <c r="D27" i="50"/>
  <c r="D26" i="50"/>
  <c r="D25" i="50"/>
  <c r="D24" i="50"/>
  <c r="D23" i="50"/>
  <c r="D22" i="50"/>
  <c r="C22" i="50"/>
  <c r="D21" i="50"/>
  <c r="D20" i="50"/>
  <c r="D19" i="50"/>
  <c r="D18" i="50"/>
  <c r="D17" i="50"/>
  <c r="D16" i="50"/>
  <c r="D15" i="50"/>
  <c r="C15" i="50"/>
  <c r="D14" i="50"/>
  <c r="D13" i="50"/>
  <c r="D12" i="50"/>
  <c r="D9" i="50" s="1"/>
  <c r="D11" i="50"/>
  <c r="D10" i="50"/>
  <c r="C9" i="50"/>
  <c r="C87" i="50" s="1"/>
  <c r="D87" i="50" s="1"/>
  <c r="X20" i="49"/>
  <c r="O20" i="49" s="1"/>
  <c r="X19" i="49"/>
  <c r="X18" i="49"/>
  <c r="O18" i="49" s="1"/>
  <c r="X17" i="49"/>
  <c r="O17" i="49" s="1"/>
  <c r="X16" i="49"/>
  <c r="O16" i="49" s="1"/>
  <c r="X15" i="49"/>
  <c r="O15" i="49" s="1"/>
  <c r="X14" i="49"/>
  <c r="X13" i="49"/>
  <c r="O13" i="49" s="1"/>
  <c r="X12" i="49"/>
  <c r="O12" i="49" s="1"/>
  <c r="X11" i="49"/>
  <c r="X10" i="49"/>
  <c r="O10" i="49" s="1"/>
  <c r="X9" i="49"/>
  <c r="AF10" i="49"/>
  <c r="AF11" i="49"/>
  <c r="AF12" i="49"/>
  <c r="AF13" i="49"/>
  <c r="AF14" i="49"/>
  <c r="AF15" i="49"/>
  <c r="AF16" i="49"/>
  <c r="AF17" i="49"/>
  <c r="AF18" i="49"/>
  <c r="AF19" i="49"/>
  <c r="AF20" i="49"/>
  <c r="AF9" i="49"/>
  <c r="AC10" i="49"/>
  <c r="AC11" i="49"/>
  <c r="AC12" i="49"/>
  <c r="AC13" i="49"/>
  <c r="AC14" i="49"/>
  <c r="AC15" i="49"/>
  <c r="AC16" i="49"/>
  <c r="AC17" i="49"/>
  <c r="AC18" i="49"/>
  <c r="AC19" i="49"/>
  <c r="AC20" i="49"/>
  <c r="AC9" i="49"/>
  <c r="J21" i="39"/>
  <c r="K21" i="39"/>
  <c r="J21" i="40"/>
  <c r="K21" i="40"/>
  <c r="L21" i="40"/>
  <c r="J21" i="41"/>
  <c r="K21" i="41"/>
  <c r="I21" i="42"/>
  <c r="J21" i="42"/>
  <c r="K21" i="42"/>
  <c r="J21" i="43"/>
  <c r="K21" i="43"/>
  <c r="J21" i="49"/>
  <c r="K21" i="49"/>
  <c r="M21" i="49"/>
  <c r="K20" i="49"/>
  <c r="E20" i="49" s="1"/>
  <c r="K19" i="49"/>
  <c r="E19" i="49" s="1"/>
  <c r="K17" i="49"/>
  <c r="K18" i="49"/>
  <c r="K13" i="49"/>
  <c r="E13" i="49" s="1"/>
  <c r="K15" i="49"/>
  <c r="E15" i="49" s="1"/>
  <c r="K9" i="49"/>
  <c r="K16" i="49"/>
  <c r="K10" i="49"/>
  <c r="K11" i="49"/>
  <c r="E11" i="49" s="1"/>
  <c r="K12" i="49"/>
  <c r="E12" i="49" s="1"/>
  <c r="K14" i="49"/>
  <c r="D20" i="49"/>
  <c r="O19" i="49"/>
  <c r="D19" i="49"/>
  <c r="E18" i="49"/>
  <c r="D18" i="49"/>
  <c r="E17" i="49"/>
  <c r="D17" i="49"/>
  <c r="E16" i="49"/>
  <c r="D16" i="49"/>
  <c r="D15" i="49"/>
  <c r="O14" i="49"/>
  <c r="E14" i="49"/>
  <c r="D14" i="49"/>
  <c r="D13" i="49"/>
  <c r="D12" i="49"/>
  <c r="O11" i="49"/>
  <c r="D11" i="49"/>
  <c r="E10" i="49"/>
  <c r="D10" i="49"/>
  <c r="W21" i="49"/>
  <c r="V21" i="49"/>
  <c r="Q21" i="49"/>
  <c r="N21" i="49"/>
  <c r="I21" i="49"/>
  <c r="H21" i="49"/>
  <c r="G21" i="49"/>
  <c r="F21" i="49"/>
  <c r="D9" i="49"/>
  <c r="C21" i="49"/>
  <c r="J14" i="41"/>
  <c r="J14" i="40"/>
  <c r="J14" i="39"/>
  <c r="J12" i="41"/>
  <c r="J12" i="40"/>
  <c r="J12" i="39"/>
  <c r="J9" i="41"/>
  <c r="J16" i="41"/>
  <c r="J10" i="41"/>
  <c r="J10" i="43" s="1"/>
  <c r="J11" i="41"/>
  <c r="J15" i="41"/>
  <c r="J13" i="41"/>
  <c r="J13" i="43" s="1"/>
  <c r="J18" i="41"/>
  <c r="J17" i="41"/>
  <c r="J19" i="41"/>
  <c r="J19" i="43" s="1"/>
  <c r="J20" i="41"/>
  <c r="J20" i="43" s="1"/>
  <c r="J14" i="42"/>
  <c r="J12" i="42"/>
  <c r="H10" i="43"/>
  <c r="I10" i="43"/>
  <c r="H11" i="43"/>
  <c r="I11" i="43"/>
  <c r="J11" i="43"/>
  <c r="H12" i="43"/>
  <c r="I12" i="43"/>
  <c r="H13" i="43"/>
  <c r="I13" i="43"/>
  <c r="H14" i="43"/>
  <c r="I14" i="43"/>
  <c r="H15" i="43"/>
  <c r="I15" i="43"/>
  <c r="J15" i="43"/>
  <c r="H16" i="43"/>
  <c r="I16" i="43"/>
  <c r="J16" i="43"/>
  <c r="H17" i="43"/>
  <c r="I17" i="43"/>
  <c r="J17" i="43"/>
  <c r="H18" i="43"/>
  <c r="I18" i="43"/>
  <c r="J18" i="43"/>
  <c r="H19" i="43"/>
  <c r="I19" i="43"/>
  <c r="H20" i="43"/>
  <c r="I20" i="43"/>
  <c r="I9" i="43"/>
  <c r="J9" i="43"/>
  <c r="Q21" i="40"/>
  <c r="C10" i="43"/>
  <c r="D10" i="43"/>
  <c r="C11" i="43"/>
  <c r="D11" i="43"/>
  <c r="C12" i="43"/>
  <c r="D12" i="43"/>
  <c r="C13" i="43"/>
  <c r="D13" i="43"/>
  <c r="C14" i="43"/>
  <c r="D14" i="43"/>
  <c r="C15" i="43"/>
  <c r="D15" i="43"/>
  <c r="C16" i="43"/>
  <c r="D16" i="43"/>
  <c r="C17" i="43"/>
  <c r="D17" i="43"/>
  <c r="C18" i="43"/>
  <c r="D18" i="43"/>
  <c r="C19" i="43"/>
  <c r="D19" i="43"/>
  <c r="C20" i="43"/>
  <c r="D20" i="43"/>
  <c r="D9" i="43"/>
  <c r="C9" i="43"/>
  <c r="N10" i="43"/>
  <c r="O10" i="43"/>
  <c r="P10" i="43"/>
  <c r="Q10" i="43"/>
  <c r="R10" i="43"/>
  <c r="N11" i="43"/>
  <c r="O11" i="43"/>
  <c r="P11" i="43"/>
  <c r="Q11" i="43"/>
  <c r="R11" i="43"/>
  <c r="N12" i="43"/>
  <c r="O12" i="43"/>
  <c r="P12" i="43"/>
  <c r="Q12" i="43"/>
  <c r="R12" i="43"/>
  <c r="N13" i="43"/>
  <c r="O13" i="43"/>
  <c r="P13" i="43"/>
  <c r="Q13" i="43"/>
  <c r="R13" i="43"/>
  <c r="N14" i="43"/>
  <c r="O14" i="43"/>
  <c r="P14" i="43"/>
  <c r="Q14" i="43"/>
  <c r="R14" i="43"/>
  <c r="N15" i="43"/>
  <c r="O15" i="43"/>
  <c r="P15" i="43"/>
  <c r="Q15" i="43"/>
  <c r="R15" i="43"/>
  <c r="N16" i="43"/>
  <c r="O16" i="43"/>
  <c r="P16" i="43"/>
  <c r="Q16" i="43"/>
  <c r="R16" i="43"/>
  <c r="N17" i="43"/>
  <c r="O17" i="43"/>
  <c r="P17" i="43"/>
  <c r="Q17" i="43"/>
  <c r="R17" i="43"/>
  <c r="N18" i="43"/>
  <c r="O18" i="43"/>
  <c r="P18" i="43"/>
  <c r="Q18" i="43"/>
  <c r="R18" i="43"/>
  <c r="N19" i="43"/>
  <c r="O19" i="43"/>
  <c r="P19" i="43"/>
  <c r="Q19" i="43"/>
  <c r="R19" i="43"/>
  <c r="N20" i="43"/>
  <c r="O20" i="43"/>
  <c r="P20" i="43"/>
  <c r="Q20" i="43"/>
  <c r="R20" i="43"/>
  <c r="O9" i="43"/>
  <c r="P9" i="43"/>
  <c r="Q9" i="43"/>
  <c r="R9" i="43"/>
  <c r="N9" i="43"/>
  <c r="F10" i="43"/>
  <c r="G10" i="43"/>
  <c r="K10" i="43"/>
  <c r="L10" i="43"/>
  <c r="F11" i="43"/>
  <c r="G11" i="43"/>
  <c r="K11" i="43"/>
  <c r="L11" i="43"/>
  <c r="F12" i="43"/>
  <c r="G12" i="43"/>
  <c r="K12" i="43"/>
  <c r="L12" i="43"/>
  <c r="F13" i="43"/>
  <c r="G13" i="43"/>
  <c r="K13" i="43"/>
  <c r="L13" i="43"/>
  <c r="F14" i="43"/>
  <c r="G14" i="43"/>
  <c r="K14" i="43"/>
  <c r="L14" i="43"/>
  <c r="F15" i="43"/>
  <c r="G15" i="43"/>
  <c r="K15" i="43"/>
  <c r="L15" i="43"/>
  <c r="F16" i="43"/>
  <c r="G16" i="43"/>
  <c r="K16" i="43"/>
  <c r="L16" i="43"/>
  <c r="F17" i="43"/>
  <c r="G17" i="43"/>
  <c r="K17" i="43"/>
  <c r="L17" i="43"/>
  <c r="F18" i="43"/>
  <c r="G18" i="43"/>
  <c r="K18" i="43"/>
  <c r="L18" i="43"/>
  <c r="F19" i="43"/>
  <c r="G19" i="43"/>
  <c r="K19" i="43"/>
  <c r="L19" i="43"/>
  <c r="F20" i="43"/>
  <c r="G20" i="43"/>
  <c r="K20" i="43"/>
  <c r="L20" i="43"/>
  <c r="G9" i="43"/>
  <c r="H9" i="43"/>
  <c r="K9" i="43"/>
  <c r="L9" i="43"/>
  <c r="F9" i="43"/>
  <c r="D86" i="51" l="1"/>
  <c r="IV80" i="51"/>
  <c r="D21" i="49"/>
  <c r="Y18" i="49"/>
  <c r="Z18" i="49" s="1"/>
  <c r="AA18" i="49" s="1"/>
  <c r="Y14" i="49"/>
  <c r="Z14" i="49" s="1"/>
  <c r="AA14" i="49" s="1"/>
  <c r="X21" i="49"/>
  <c r="O9" i="49"/>
  <c r="O21" i="49" s="1"/>
  <c r="Y10" i="49"/>
  <c r="Z10" i="49" s="1"/>
  <c r="AA10" i="49" s="1"/>
  <c r="Y11" i="49"/>
  <c r="Y13" i="49"/>
  <c r="Y15" i="49"/>
  <c r="Y17" i="49"/>
  <c r="Y20" i="49"/>
  <c r="Y12" i="49"/>
  <c r="Y16" i="49"/>
  <c r="Y19" i="49"/>
  <c r="E9" i="49"/>
  <c r="P21" i="49"/>
  <c r="J14" i="43"/>
  <c r="E14" i="43" s="1"/>
  <c r="J12" i="43"/>
  <c r="E12" i="43" s="1"/>
  <c r="R21" i="43"/>
  <c r="Q21" i="43"/>
  <c r="P21" i="43"/>
  <c r="O21" i="43"/>
  <c r="L21" i="43"/>
  <c r="I21" i="43"/>
  <c r="H21" i="43"/>
  <c r="G21" i="43"/>
  <c r="F21" i="43"/>
  <c r="D21" i="43"/>
  <c r="C21" i="43"/>
  <c r="M20" i="43"/>
  <c r="E20" i="43"/>
  <c r="M19" i="43"/>
  <c r="E19" i="43"/>
  <c r="M18" i="43"/>
  <c r="E18" i="43"/>
  <c r="M17" i="43"/>
  <c r="E17" i="43"/>
  <c r="M16" i="43"/>
  <c r="E16" i="43"/>
  <c r="M15" i="43"/>
  <c r="E15" i="43"/>
  <c r="S15" i="43" s="1"/>
  <c r="M14" i="43"/>
  <c r="M13" i="43"/>
  <c r="E13" i="43"/>
  <c r="M12" i="43"/>
  <c r="M11" i="43"/>
  <c r="E11" i="43"/>
  <c r="M10" i="43"/>
  <c r="E10" i="43"/>
  <c r="M9" i="43"/>
  <c r="E9" i="43"/>
  <c r="R21" i="42"/>
  <c r="Q21" i="42"/>
  <c r="P21" i="42"/>
  <c r="O21" i="42"/>
  <c r="L21" i="42"/>
  <c r="H21" i="42"/>
  <c r="G21" i="42"/>
  <c r="F21" i="42"/>
  <c r="D21" i="42"/>
  <c r="C21" i="42"/>
  <c r="N20" i="42"/>
  <c r="M20" i="42"/>
  <c r="S20" i="42" s="1"/>
  <c r="E20" i="42"/>
  <c r="N19" i="42"/>
  <c r="M19" i="42"/>
  <c r="E19" i="42"/>
  <c r="N18" i="42"/>
  <c r="M18" i="42"/>
  <c r="E18" i="42"/>
  <c r="N17" i="42"/>
  <c r="M17" i="42" s="1"/>
  <c r="S17" i="42" s="1"/>
  <c r="T17" i="42" s="1"/>
  <c r="E17" i="42"/>
  <c r="N16" i="42"/>
  <c r="M16" i="42"/>
  <c r="E16" i="42"/>
  <c r="N15" i="42"/>
  <c r="M15" i="42"/>
  <c r="E15" i="42"/>
  <c r="N14" i="42"/>
  <c r="M14" i="42"/>
  <c r="E14" i="42"/>
  <c r="N13" i="42"/>
  <c r="M13" i="42"/>
  <c r="E13" i="42"/>
  <c r="N12" i="42"/>
  <c r="M12" i="42" s="1"/>
  <c r="E12" i="42"/>
  <c r="N11" i="42"/>
  <c r="M11" i="42" s="1"/>
  <c r="S11" i="42" s="1"/>
  <c r="T11" i="42" s="1"/>
  <c r="E11" i="42"/>
  <c r="N10" i="42"/>
  <c r="M10" i="42"/>
  <c r="E10" i="42"/>
  <c r="N9" i="42"/>
  <c r="M9" i="42" s="1"/>
  <c r="E9" i="42"/>
  <c r="R21" i="41"/>
  <c r="Q21" i="41"/>
  <c r="P21" i="41"/>
  <c r="O21" i="41"/>
  <c r="L21" i="41"/>
  <c r="I21" i="41"/>
  <c r="H21" i="41"/>
  <c r="G21" i="41"/>
  <c r="F21" i="41"/>
  <c r="D21" i="41"/>
  <c r="C21" i="41"/>
  <c r="N20" i="41"/>
  <c r="M20" i="41" s="1"/>
  <c r="E20" i="41"/>
  <c r="N19" i="41"/>
  <c r="M19" i="41"/>
  <c r="E19" i="41"/>
  <c r="N18" i="41"/>
  <c r="M18" i="41"/>
  <c r="E18" i="41"/>
  <c r="N17" i="41"/>
  <c r="M17" i="41" s="1"/>
  <c r="E17" i="41"/>
  <c r="N16" i="41"/>
  <c r="M16" i="41" s="1"/>
  <c r="E16" i="41"/>
  <c r="N15" i="41"/>
  <c r="M15" i="41"/>
  <c r="S15" i="41" s="1"/>
  <c r="E15" i="41"/>
  <c r="N14" i="41"/>
  <c r="M14" i="41"/>
  <c r="E14" i="41"/>
  <c r="N13" i="41"/>
  <c r="M13" i="41" s="1"/>
  <c r="E13" i="41"/>
  <c r="N12" i="41"/>
  <c r="M12" i="41" s="1"/>
  <c r="E12" i="41"/>
  <c r="N11" i="41"/>
  <c r="M11" i="41"/>
  <c r="E11" i="41"/>
  <c r="N10" i="41"/>
  <c r="M10" i="41" s="1"/>
  <c r="E10" i="41"/>
  <c r="N9" i="41"/>
  <c r="E9" i="41"/>
  <c r="Y9" i="49" l="1"/>
  <c r="E21" i="49"/>
  <c r="Z16" i="49"/>
  <c r="AA16" i="49" s="1"/>
  <c r="Z13" i="49"/>
  <c r="AA13" i="49" s="1"/>
  <c r="Z19" i="49"/>
  <c r="AA19" i="49" s="1"/>
  <c r="Z12" i="49"/>
  <c r="AA12" i="49" s="1"/>
  <c r="Z20" i="49"/>
  <c r="AA20" i="49" s="1"/>
  <c r="Z11" i="49"/>
  <c r="AA11" i="49" s="1"/>
  <c r="Z17" i="49"/>
  <c r="AA17" i="49" s="1"/>
  <c r="Z15" i="49"/>
  <c r="AA15" i="49" s="1"/>
  <c r="S14" i="43"/>
  <c r="T14" i="43" s="1"/>
  <c r="U14" i="43" s="1"/>
  <c r="S16" i="41"/>
  <c r="S13" i="43"/>
  <c r="T13" i="43" s="1"/>
  <c r="U13" i="43" s="1"/>
  <c r="M21" i="43"/>
  <c r="S16" i="43"/>
  <c r="T16" i="43" s="1"/>
  <c r="U16" i="43" s="1"/>
  <c r="S10" i="43"/>
  <c r="T10" i="43" s="1"/>
  <c r="U10" i="43" s="1"/>
  <c r="S17" i="43"/>
  <c r="S18" i="43"/>
  <c r="T18" i="43" s="1"/>
  <c r="U18" i="43" s="1"/>
  <c r="S11" i="43"/>
  <c r="T11" i="43" s="1"/>
  <c r="U11" i="43" s="1"/>
  <c r="S12" i="43"/>
  <c r="T12" i="43" s="1"/>
  <c r="U12" i="43" s="1"/>
  <c r="S19" i="43"/>
  <c r="T19" i="43" s="1"/>
  <c r="S20" i="43"/>
  <c r="T20" i="43" s="1"/>
  <c r="U20" i="43" s="1"/>
  <c r="S9" i="43"/>
  <c r="T9" i="43" s="1"/>
  <c r="T15" i="43"/>
  <c r="U15" i="43" s="1"/>
  <c r="T17" i="43"/>
  <c r="N21" i="43"/>
  <c r="E21" i="43"/>
  <c r="S16" i="42"/>
  <c r="S15" i="42"/>
  <c r="T15" i="42" s="1"/>
  <c r="S12" i="42"/>
  <c r="T12" i="42" s="1"/>
  <c r="U12" i="42" s="1"/>
  <c r="N21" i="42"/>
  <c r="E21" i="42"/>
  <c r="S10" i="42"/>
  <c r="T10" i="42" s="1"/>
  <c r="U10" i="42" s="1"/>
  <c r="S14" i="42"/>
  <c r="S19" i="42"/>
  <c r="T19" i="42" s="1"/>
  <c r="U19" i="42" s="1"/>
  <c r="S13" i="42"/>
  <c r="T13" i="42" s="1"/>
  <c r="S18" i="42"/>
  <c r="T18" i="42" s="1"/>
  <c r="U18" i="42" s="1"/>
  <c r="M21" i="42"/>
  <c r="S9" i="42"/>
  <c r="T9" i="42" s="1"/>
  <c r="T16" i="42"/>
  <c r="U16" i="42" s="1"/>
  <c r="T20" i="42"/>
  <c r="U20" i="42" s="1"/>
  <c r="T14" i="42"/>
  <c r="U14" i="42" s="1"/>
  <c r="U11" i="42"/>
  <c r="U15" i="42"/>
  <c r="U17" i="42"/>
  <c r="S19" i="41"/>
  <c r="T19" i="41" s="1"/>
  <c r="U19" i="41" s="1"/>
  <c r="S18" i="41"/>
  <c r="T18" i="41" s="1"/>
  <c r="U18" i="41" s="1"/>
  <c r="S17" i="41"/>
  <c r="T17" i="41" s="1"/>
  <c r="U17" i="41" s="1"/>
  <c r="S14" i="41"/>
  <c r="T14" i="41" s="1"/>
  <c r="U14" i="41" s="1"/>
  <c r="S13" i="41"/>
  <c r="T13" i="41" s="1"/>
  <c r="U13" i="41" s="1"/>
  <c r="S11" i="41"/>
  <c r="T11" i="41" s="1"/>
  <c r="U11" i="41" s="1"/>
  <c r="S10" i="41"/>
  <c r="T10" i="41" s="1"/>
  <c r="U10" i="41" s="1"/>
  <c r="N21" i="41"/>
  <c r="S12" i="41"/>
  <c r="T12" i="41" s="1"/>
  <c r="U12" i="41" s="1"/>
  <c r="S20" i="41"/>
  <c r="T20" i="41" s="1"/>
  <c r="E21" i="41"/>
  <c r="M9" i="41"/>
  <c r="M21" i="41" s="1"/>
  <c r="T15" i="41"/>
  <c r="U15" i="41" s="1"/>
  <c r="T16" i="41"/>
  <c r="U16" i="41" s="1"/>
  <c r="R21" i="40"/>
  <c r="P21" i="40"/>
  <c r="O21" i="40"/>
  <c r="I21" i="40"/>
  <c r="H21" i="40"/>
  <c r="G21" i="40"/>
  <c r="F21" i="40"/>
  <c r="D21" i="40"/>
  <c r="C21" i="40"/>
  <c r="N20" i="40"/>
  <c r="M20" i="40" s="1"/>
  <c r="E20" i="40"/>
  <c r="N19" i="40"/>
  <c r="M19" i="40"/>
  <c r="E19" i="40"/>
  <c r="N18" i="40"/>
  <c r="M18" i="40"/>
  <c r="E18" i="40"/>
  <c r="N17" i="40"/>
  <c r="M17" i="40" s="1"/>
  <c r="S17" i="40" s="1"/>
  <c r="E17" i="40"/>
  <c r="N16" i="40"/>
  <c r="M16" i="40" s="1"/>
  <c r="E16" i="40"/>
  <c r="N15" i="40"/>
  <c r="M15" i="40"/>
  <c r="E15" i="40"/>
  <c r="N14" i="40"/>
  <c r="M14" i="40" s="1"/>
  <c r="E14" i="40"/>
  <c r="N13" i="40"/>
  <c r="M13" i="40" s="1"/>
  <c r="E13" i="40"/>
  <c r="N12" i="40"/>
  <c r="M12" i="40" s="1"/>
  <c r="E12" i="40"/>
  <c r="N11" i="40"/>
  <c r="M11" i="40"/>
  <c r="S11" i="40" s="1"/>
  <c r="E11" i="40"/>
  <c r="N10" i="40"/>
  <c r="M10" i="40"/>
  <c r="E10" i="40"/>
  <c r="N9" i="40"/>
  <c r="E9" i="40"/>
  <c r="Y21" i="49" l="1"/>
  <c r="Z9" i="49"/>
  <c r="Z21" i="49" s="1"/>
  <c r="U19" i="43"/>
  <c r="U17" i="43"/>
  <c r="S21" i="43"/>
  <c r="T21" i="43"/>
  <c r="U9" i="43"/>
  <c r="U13" i="42"/>
  <c r="S21" i="42"/>
  <c r="U9" i="42"/>
  <c r="T21" i="42"/>
  <c r="U21" i="42"/>
  <c r="U20" i="41"/>
  <c r="S9" i="41"/>
  <c r="T9" i="41" s="1"/>
  <c r="T21" i="41" s="1"/>
  <c r="S18" i="40"/>
  <c r="T18" i="40" s="1"/>
  <c r="U18" i="40" s="1"/>
  <c r="S15" i="40"/>
  <c r="T15" i="40" s="1"/>
  <c r="U15" i="40" s="1"/>
  <c r="S14" i="40"/>
  <c r="S13" i="40"/>
  <c r="T13" i="40" s="1"/>
  <c r="U13" i="40" s="1"/>
  <c r="S10" i="40"/>
  <c r="T10" i="40" s="1"/>
  <c r="U10" i="40" s="1"/>
  <c r="N21" i="40"/>
  <c r="S20" i="40"/>
  <c r="T20" i="40" s="1"/>
  <c r="U20" i="40" s="1"/>
  <c r="S12" i="40"/>
  <c r="T12" i="40" s="1"/>
  <c r="U12" i="40" s="1"/>
  <c r="S16" i="40"/>
  <c r="T16" i="40" s="1"/>
  <c r="U16" i="40" s="1"/>
  <c r="E21" i="40"/>
  <c r="S19" i="40"/>
  <c r="T19" i="40" s="1"/>
  <c r="M9" i="40"/>
  <c r="M21" i="40" s="1"/>
  <c r="T11" i="40"/>
  <c r="U11" i="40" s="1"/>
  <c r="T17" i="40"/>
  <c r="U17" i="40" s="1"/>
  <c r="T14" i="40"/>
  <c r="U14" i="40" s="1"/>
  <c r="AA9" i="49" l="1"/>
  <c r="AA21" i="49" s="1"/>
  <c r="S21" i="41"/>
  <c r="U21" i="43"/>
  <c r="U9" i="41"/>
  <c r="U21" i="41" s="1"/>
  <c r="S9" i="40"/>
  <c r="T9" i="40" s="1"/>
  <c r="T21" i="40" s="1"/>
  <c r="U19" i="40"/>
  <c r="S21" i="40" l="1"/>
  <c r="U9" i="40"/>
  <c r="U21" i="40" s="1"/>
  <c r="R21" i="39" l="1"/>
  <c r="Q21" i="39"/>
  <c r="P21" i="39"/>
  <c r="O21" i="39"/>
  <c r="I21" i="39"/>
  <c r="H21" i="39"/>
  <c r="G21" i="39"/>
  <c r="F21" i="39"/>
  <c r="D21" i="39"/>
  <c r="C21" i="39"/>
  <c r="N20" i="39"/>
  <c r="M20" i="39" s="1"/>
  <c r="E20" i="39"/>
  <c r="N19" i="39"/>
  <c r="M19" i="39" s="1"/>
  <c r="E19" i="39"/>
  <c r="N18" i="39"/>
  <c r="M18" i="39" s="1"/>
  <c r="E18" i="39"/>
  <c r="N17" i="39"/>
  <c r="M17" i="39" s="1"/>
  <c r="E17" i="39"/>
  <c r="N16" i="39"/>
  <c r="M16" i="39" s="1"/>
  <c r="E16" i="39"/>
  <c r="N15" i="39"/>
  <c r="M15" i="39" s="1"/>
  <c r="E15" i="39"/>
  <c r="N14" i="39"/>
  <c r="M14" i="39" s="1"/>
  <c r="E14" i="39"/>
  <c r="N13" i="39"/>
  <c r="M13" i="39" s="1"/>
  <c r="E13" i="39"/>
  <c r="N12" i="39"/>
  <c r="M12" i="39" s="1"/>
  <c r="E12" i="39"/>
  <c r="N11" i="39"/>
  <c r="M11" i="39" s="1"/>
  <c r="E11" i="39"/>
  <c r="N10" i="39"/>
  <c r="M10" i="39" s="1"/>
  <c r="L21" i="39"/>
  <c r="E10" i="39"/>
  <c r="N9" i="39"/>
  <c r="M9" i="39" s="1"/>
  <c r="E9" i="39"/>
  <c r="S15" i="39" l="1"/>
  <c r="T15" i="39" s="1"/>
  <c r="U15" i="39" s="1"/>
  <c r="S13" i="39"/>
  <c r="T13" i="39" s="1"/>
  <c r="U13" i="39" s="1"/>
  <c r="S18" i="39"/>
  <c r="T18" i="39" s="1"/>
  <c r="U18" i="39" s="1"/>
  <c r="S12" i="39"/>
  <c r="T12" i="39" s="1"/>
  <c r="U12" i="39" s="1"/>
  <c r="S11" i="39"/>
  <c r="T11" i="39" s="1"/>
  <c r="U11" i="39" s="1"/>
  <c r="S17" i="39"/>
  <c r="T17" i="39" s="1"/>
  <c r="U17" i="39" s="1"/>
  <c r="S19" i="39"/>
  <c r="T19" i="39" s="1"/>
  <c r="U19" i="39" s="1"/>
  <c r="S20" i="39"/>
  <c r="T20" i="39" s="1"/>
  <c r="U20" i="39" s="1"/>
  <c r="S14" i="39"/>
  <c r="T14" i="39" s="1"/>
  <c r="E21" i="39"/>
  <c r="S16" i="39"/>
  <c r="M21" i="39"/>
  <c r="S9" i="39"/>
  <c r="S10" i="39"/>
  <c r="N21" i="39"/>
  <c r="J20" i="32"/>
  <c r="J18" i="32"/>
  <c r="J17" i="32"/>
  <c r="J16" i="32"/>
  <c r="J14" i="32"/>
  <c r="J13" i="32"/>
  <c r="J12" i="32"/>
  <c r="J11" i="32"/>
  <c r="J10" i="32"/>
  <c r="U14" i="39" l="1"/>
  <c r="T16" i="39"/>
  <c r="U16" i="39" s="1"/>
  <c r="T10" i="39"/>
  <c r="U10" i="39" s="1"/>
  <c r="T9" i="39"/>
  <c r="S21" i="39"/>
  <c r="L10" i="32"/>
  <c r="L11" i="32"/>
  <c r="K11" i="32" s="1"/>
  <c r="L12" i="32"/>
  <c r="K12" i="32" s="1"/>
  <c r="L13" i="32"/>
  <c r="K13" i="32" s="1"/>
  <c r="L14" i="32"/>
  <c r="K14" i="32" s="1"/>
  <c r="L15" i="32"/>
  <c r="L16" i="32"/>
  <c r="K16" i="32" s="1"/>
  <c r="L17" i="32"/>
  <c r="K17" i="32" s="1"/>
  <c r="L18" i="32"/>
  <c r="K18" i="32" s="1"/>
  <c r="L19" i="32"/>
  <c r="K19" i="32" s="1"/>
  <c r="L20" i="32"/>
  <c r="L9" i="32"/>
  <c r="P21" i="32"/>
  <c r="O21" i="32"/>
  <c r="M21" i="32"/>
  <c r="J21" i="32"/>
  <c r="I21" i="32"/>
  <c r="H21" i="32"/>
  <c r="G21" i="32"/>
  <c r="F21" i="32"/>
  <c r="D21" i="32"/>
  <c r="C21" i="32"/>
  <c r="K20" i="32"/>
  <c r="E20" i="32"/>
  <c r="E19" i="32"/>
  <c r="E18" i="32"/>
  <c r="E17" i="32"/>
  <c r="E16" i="32"/>
  <c r="K15" i="32"/>
  <c r="E15" i="32"/>
  <c r="E14" i="32"/>
  <c r="E13" i="32"/>
  <c r="E12" i="32"/>
  <c r="E11" i="32"/>
  <c r="E10" i="32"/>
  <c r="E9" i="32"/>
  <c r="T21" i="39" l="1"/>
  <c r="U9" i="39"/>
  <c r="U21" i="39" s="1"/>
  <c r="Q15" i="32"/>
  <c r="Q12" i="32"/>
  <c r="R12" i="32" s="1"/>
  <c r="S12" i="32" s="1"/>
  <c r="Q17" i="32"/>
  <c r="R17" i="32" s="1"/>
  <c r="S17" i="32" s="1"/>
  <c r="Q11" i="32"/>
  <c r="R11" i="32" s="1"/>
  <c r="S11" i="32" s="1"/>
  <c r="Q19" i="32"/>
  <c r="R19" i="32" s="1"/>
  <c r="S19" i="32" s="1"/>
  <c r="Q14" i="32"/>
  <c r="R14" i="32" s="1"/>
  <c r="S14" i="32" s="1"/>
  <c r="L21" i="32"/>
  <c r="K10" i="32"/>
  <c r="Q10" i="32" s="1"/>
  <c r="R10" i="32" s="1"/>
  <c r="S10" i="32" s="1"/>
  <c r="Q20" i="32"/>
  <c r="R20" i="32" s="1"/>
  <c r="S20" i="32" s="1"/>
  <c r="K9" i="32"/>
  <c r="Q18" i="32"/>
  <c r="R18" i="32" s="1"/>
  <c r="Q13" i="32"/>
  <c r="Q16" i="32"/>
  <c r="R16" i="32" s="1"/>
  <c r="E21" i="32"/>
  <c r="R15" i="32"/>
  <c r="S15" i="32" s="1"/>
  <c r="N21" i="32"/>
  <c r="K21" i="32" l="1"/>
  <c r="Q9" i="32"/>
  <c r="R9" i="32" s="1"/>
  <c r="S9" i="32" s="1"/>
  <c r="Q21" i="32"/>
  <c r="R13" i="32"/>
  <c r="S13" i="32" s="1"/>
  <c r="S16" i="32"/>
  <c r="S18" i="32"/>
  <c r="S21" i="32" l="1"/>
  <c r="R21" i="32"/>
</calcChain>
</file>

<file path=xl/sharedStrings.xml><?xml version="1.0" encoding="utf-8"?>
<sst xmlns="http://schemas.openxmlformats.org/spreadsheetml/2006/main" count="1018" uniqueCount="305">
  <si>
    <t>TT</t>
  </si>
  <si>
    <t>Ng­êi lËp</t>
  </si>
  <si>
    <t>KÕ to¸n tr­ëng</t>
  </si>
  <si>
    <t>Thñ tr­ëng ®¬n vÞ</t>
  </si>
  <si>
    <t>(Ký, hä tªn )</t>
  </si>
  <si>
    <t>(Ký, hä tªn , ®ãng dÊu)</t>
  </si>
  <si>
    <t>số ngày điều trị</t>
  </si>
  <si>
    <t>TRUNG TÂM Y TẾ QUỲ CHÂU</t>
  </si>
  <si>
    <t>Trích 35% bù lương</t>
  </si>
  <si>
    <t>Các khoản chi</t>
  </si>
  <si>
    <t>Tổng Cộng:</t>
  </si>
  <si>
    <t>Thị Trấn</t>
  </si>
  <si>
    <t>Châu Bính</t>
  </si>
  <si>
    <t>Châu Thuận</t>
  </si>
  <si>
    <t>Châu Hội</t>
  </si>
  <si>
    <t>Châu Nga</t>
  </si>
  <si>
    <t>Châu Tiến</t>
  </si>
  <si>
    <t>Châu Hạnh</t>
  </si>
  <si>
    <t>Châu Thắng</t>
  </si>
  <si>
    <t>Châu Phong</t>
  </si>
  <si>
    <t>Châu Bình</t>
  </si>
  <si>
    <t>Châu Hoàn</t>
  </si>
  <si>
    <t>Diên Lãm</t>
  </si>
  <si>
    <t>TỔNG CHI</t>
  </si>
  <si>
    <t>Thuốc, VTYT,..</t>
  </si>
  <si>
    <t>5 = (6+..10)</t>
  </si>
  <si>
    <t>CHÊNH LỆCH</t>
  </si>
  <si>
    <t>TRÍCH CÁC LOẠI QUỸ</t>
  </si>
  <si>
    <t>TỔNG HỢP QUYẾT TOÁN KCB BHYT CỦA TRẠM Y TẾ XÃ</t>
  </si>
  <si>
    <t>Trạm y tế</t>
  </si>
  <si>
    <t>Số lượt KCB</t>
  </si>
  <si>
    <t>Tiền thuốc, máu, dịch truyền</t>
  </si>
  <si>
    <t>Tiền thủ thuật</t>
  </si>
  <si>
    <t>Tiền VTYT</t>
  </si>
  <si>
    <t>Ghi chú</t>
  </si>
  <si>
    <t>TỔNG THU</t>
  </si>
  <si>
    <t>11= (12+..17)</t>
  </si>
  <si>
    <t>Tiền khám, ngày giường</t>
  </si>
  <si>
    <t>Các khoản thu</t>
  </si>
  <si>
    <t>CĐHA</t>
  </si>
  <si>
    <t xml:space="preserve"> Trích bù lương (theo giá viện phí đã cơ cấu tiền lương TT37, TT15, TT39)</t>
  </si>
  <si>
    <t>Tiền khám</t>
  </si>
  <si>
    <t xml:space="preserve">Bảo hiểm từ chối thanh toán (Quý 3.4/2018) </t>
  </si>
  <si>
    <t>17=5-11</t>
  </si>
  <si>
    <t>18=17*35%</t>
  </si>
  <si>
    <t>19=17-18</t>
  </si>
  <si>
    <t xml:space="preserve"> NĂM 2019</t>
  </si>
  <si>
    <t xml:space="preserve">Bảo hiểm từ chối thanh toán (Quý 1.2.3/2019) </t>
  </si>
  <si>
    <t>Ghi chú: Số liệu bị BHXH xuất toán quý 4 năm 2019 của các trạm y tế ( nếu có) sẽ được tính trừ vào năm 2020</t>
  </si>
  <si>
    <t xml:space="preserve">VTYT ngoài danh mục bảo hiểm thanh toán ( nhận tại kho Y cụ) </t>
  </si>
  <si>
    <t>Quú ch©u, ngµy  14   th¸ng  01  n¨m 2020</t>
  </si>
  <si>
    <t>SỞ Y TẾ NGHỆ AN</t>
  </si>
  <si>
    <t xml:space="preserve"> QUÝ I NĂM 2020</t>
  </si>
  <si>
    <t>Ngày giường</t>
  </si>
  <si>
    <t xml:space="preserve">Ghi chú: </t>
  </si>
  <si>
    <t xml:space="preserve"> Trích bù lương (theo giá viện phí đã cơ cấu tiền lương TT37, TT13)</t>
  </si>
  <si>
    <t xml:space="preserve">Bảo hiểm từ chối thanh toán (Quý 1.2020) </t>
  </si>
  <si>
    <t xml:space="preserve">Bảo hiểm từ chối thanh toán (Quý 4/2019) </t>
  </si>
  <si>
    <t xml:space="preserve"> QUÝ II NĂM 2020</t>
  </si>
  <si>
    <t>Quú ch©u, ngµy  14   th¸ng  07  n¨m 2020</t>
  </si>
  <si>
    <t>Quú ch©u, ngµy  14   th¸ng  04  n¨m 2020</t>
  </si>
  <si>
    <t xml:space="preserve"> QUÝ III NĂM 2020</t>
  </si>
  <si>
    <t>Quú ch©u, ngµy  05   th¸ng  10  n¨m 2020</t>
  </si>
  <si>
    <t xml:space="preserve">Bảo hiểm từ chối thanh toán (Quý II.2020) </t>
  </si>
  <si>
    <t xml:space="preserve">Bảo hiểm từ chối thanh toán (Quý III.2020) </t>
  </si>
  <si>
    <t>Quú ch©u, ngµy  05   th¸ng  01  n¨m 2021</t>
  </si>
  <si>
    <t xml:space="preserve"> QUÝ IV NĂM 2020</t>
  </si>
  <si>
    <t>BẢO HIỂM XÃ HỘI VIỆT NAM</t>
  </si>
  <si>
    <t>Mẫu số 14/BHYT</t>
  </si>
  <si>
    <t>BẢO HIỂM XÃ HỘI HUYỆN QUỲ CHÂU</t>
  </si>
  <si>
    <t>THỐNG KÊ CHI PHÍ KHÁM BỆNH, CHỮA BỆNH BHYT NGOẠI TRÚ, NỘI TRÚ TẠI CÁC CƠ SỞ Y TẾ</t>
  </si>
  <si>
    <t>Quý 4 năm 2019</t>
  </si>
  <si>
    <t>Đơn vị:  đồng</t>
  </si>
  <si>
    <t>STT</t>
  </si>
  <si>
    <t>Tên cơ sở y tế</t>
  </si>
  <si>
    <t>Mã cơ sở khám chữa bệnh</t>
  </si>
  <si>
    <t>Số lượt</t>
  </si>
  <si>
    <t>Số ngày điều trị</t>
  </si>
  <si>
    <t>CHI PHÍ KHÁM CHỮA BỆNH BHYT TẠI CƠ SỞ Y TẾ</t>
  </si>
  <si>
    <t>Vận chuyển</t>
  </si>
  <si>
    <t>Trách nhiệm 
chi trả</t>
  </si>
  <si>
    <t>Từ chối thanh toán</t>
  </si>
  <si>
    <t>THANH TOÁN TRỰC TIẾP</t>
  </si>
  <si>
    <t>Đúng tuyến</t>
  </si>
  <si>
    <t>Trái tuyến</t>
  </si>
  <si>
    <t>Tổng cộng</t>
  </si>
  <si>
    <t>Không áp dụng tỷ lệ</t>
  </si>
  <si>
    <t>Áp dụng tỷ lệ</t>
  </si>
  <si>
    <t>Tiền giường</t>
  </si>
  <si>
    <t>Người bệnh chi trả</t>
  </si>
  <si>
    <t>Quỹ BHYT Thanh toán</t>
  </si>
  <si>
    <t>BHXH thanh toán</t>
  </si>
  <si>
    <t>Xét nghiệm</t>
  </si>
  <si>
    <t>CĐHA
TDCN</t>
  </si>
  <si>
    <t>Thuốc</t>
  </si>
  <si>
    <t>Máu</t>
  </si>
  <si>
    <t>TT-PP</t>
  </si>
  <si>
    <t>VTYT</t>
  </si>
  <si>
    <t>DVKT</t>
  </si>
  <si>
    <t>A</t>
  </si>
  <si>
    <t>B</t>
  </si>
  <si>
    <t>C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</si>
  <si>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</si>
  <si>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</si>
  <si>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</si>
  <si>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</si>
  <si>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</si>
  <si>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</si>
  <si>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</si>
  <si>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</si>
  <si>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</si>
  <si>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</si>
  <si>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</si>
  <si>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</si>
  <si>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</si>
  <si>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</si>
  <si>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</si>
  <si>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</si>
  <si>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</si>
  <si>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</si>
  <si>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</si>
  <si>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</si>
  <si>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</si>
  <si>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</si>
  <si>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Nội trú</t>
  </si>
  <si>
    <t>Trung tâm y tế huyện Quỳ Châu</t>
  </si>
  <si>
    <t>40017</t>
  </si>
  <si>
    <t>Ngoại trú</t>
  </si>
  <si>
    <t>Trạm y tế thị trấn Tân Lạc</t>
  </si>
  <si>
    <t>40110</t>
  </si>
  <si>
    <t>Trạm y tế xã Châu Bính</t>
  </si>
  <si>
    <t>40111</t>
  </si>
  <si>
    <t>Trạm y tế xã Châu Thuận</t>
  </si>
  <si>
    <t>40112</t>
  </si>
  <si>
    <t>Trạm y tế xã Châu Hội</t>
  </si>
  <si>
    <t>40113</t>
  </si>
  <si>
    <t>Trạm y tế xã Châu Nga</t>
  </si>
  <si>
    <t>40114</t>
  </si>
  <si>
    <t>Trạm y tế xã Châu Tiến</t>
  </si>
  <si>
    <t>40115</t>
  </si>
  <si>
    <t>Trạm y tế xã Châu Hạnh</t>
  </si>
  <si>
    <t>40116</t>
  </si>
  <si>
    <t>Trạm y tế xã Châu Thắng</t>
  </si>
  <si>
    <t>40117</t>
  </si>
  <si>
    <t>Trạm y tế xã Châu Phong</t>
  </si>
  <si>
    <t>40118</t>
  </si>
  <si>
    <t>Trạm y tế xã Châu Bình</t>
  </si>
  <si>
    <t>40119</t>
  </si>
  <si>
    <t>Trạm y tế xã Châu Hoàn</t>
  </si>
  <si>
    <t>40120</t>
  </si>
  <si>
    <t>Trạm y tế xã Diên Lãm</t>
  </si>
  <si>
    <t>40121</t>
  </si>
  <si>
    <t>III</t>
  </si>
  <si>
    <t>Ngày 19 tháng 01 năm 2021</t>
  </si>
  <si>
    <t>Người lập biểu</t>
  </si>
  <si>
    <t>Trưởng phòng Giám định BHYT</t>
  </si>
  <si>
    <t>Giám đốc</t>
  </si>
  <si>
    <t>(Ký, họ tên)</t>
  </si>
  <si>
    <t>(Ký, họ tên, đóng dấu)</t>
  </si>
  <si>
    <t>19/01/2021 2:00:47 CH</t>
  </si>
  <si>
    <t>Trang: 1 / 1</t>
  </si>
  <si>
    <t>Quý 1 năm 2020</t>
  </si>
  <si>
    <t>19/01/2021 2:01:07 CH</t>
  </si>
  <si>
    <t>Quý 2 năm 2020</t>
  </si>
  <si>
    <t>19/01/2021 2:01:15 CH</t>
  </si>
  <si>
    <t>Quý 3 năm 2020</t>
  </si>
  <si>
    <t>19/01/2021 2:01:24 CH</t>
  </si>
  <si>
    <t>Bảo hiểm từ chối thanh toán ( Quý I,II,III năm 2020)</t>
  </si>
  <si>
    <t xml:space="preserve">  NĂM 2020</t>
  </si>
  <si>
    <t>Ghi chú: Số liệu KCB BHYT bị BHXH xuất toán quý 4 năm 2020 của các trạm y tế ( nếu có) sẽ được tính trừ vào năm 2021</t>
  </si>
  <si>
    <t>11= (12+..16)</t>
  </si>
  <si>
    <t>Xét nghiệm HIV</t>
  </si>
  <si>
    <t>Xét nghiệm HIV năm 2020</t>
  </si>
  <si>
    <t>VTYT ngoài danh mục BHYT thanh toán,có test HIV tháng 12 năm 2019 ( nhận tại kho Y cụ)</t>
  </si>
  <si>
    <t>Tiền thưởng đã chi ngày 30/4/2020 và 02/9/2020</t>
  </si>
  <si>
    <t xml:space="preserve">                 SỞ Y TẾ NGHỆ AN </t>
  </si>
  <si>
    <t>TRUNG TÂM Y TẾ HUYỆN QUỲ CHÂU</t>
  </si>
  <si>
    <t>BẢNG THANH TOÁN TIỀN THƯỞNG QUÝ 1 NĂM 2020</t>
  </si>
  <si>
    <t>(Theo Quyết định số:  32/QĐ-TTYT ngày 28/4/2020 của Giám đốc Trung tâm y tế huyện Quỳ Châu)</t>
  </si>
  <si>
    <t xml:space="preserve">TT
</t>
  </si>
  <si>
    <t>Họ và tên</t>
  </si>
  <si>
    <t>Định mức thưởng</t>
  </si>
  <si>
    <t>Tiền thưởng
 được nhận</t>
  </si>
  <si>
    <t>I</t>
  </si>
  <si>
    <t>THỊ TRẤN</t>
  </si>
  <si>
    <t>Vi Thị Chuyên</t>
  </si>
  <si>
    <t>Vi Thị Lan</t>
  </si>
  <si>
    <t>Nguyễn Thị Hiền</t>
  </si>
  <si>
    <t>Vi Thị Đào</t>
  </si>
  <si>
    <t>Nguyễn Thị Loan</t>
  </si>
  <si>
    <t>II</t>
  </si>
  <si>
    <t>CHÂU HẠNH</t>
  </si>
  <si>
    <t>Lê Thị Nga</t>
  </si>
  <si>
    <t>Trần Thị Châu</t>
  </si>
  <si>
    <t>Bùi Thị Hạnh</t>
  </si>
  <si>
    <t>Sầm Thị Hà</t>
  </si>
  <si>
    <t>Lê Thị Hòa</t>
  </si>
  <si>
    <t>Lê Thị Phương Thảo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</si>
  <si>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</si>
  <si>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</si>
  <si>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</si>
  <si>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</si>
  <si>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</si>
  <si>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</si>
  <si>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</si>
  <si>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</si>
  <si>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</si>
  <si>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Phạm Thị Nhi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</si>
  <si>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</si>
  <si>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</si>
  <si>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</si>
  <si>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</si>
  <si>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</si>
  <si>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</si>
  <si>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</si>
  <si>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</si>
  <si>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</si>
  <si>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</si>
  <si>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</si>
  <si>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</si>
  <si>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</si>
  <si>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</si>
  <si>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</si>
  <si>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</si>
  <si>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</si>
  <si>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</si>
  <si>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</si>
  <si>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</si>
  <si>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Lương Thị Hà</t>
  </si>
  <si>
    <t>Hà Thị Thơ</t>
  </si>
  <si>
    <t>Lê Thị An</t>
  </si>
  <si>
    <t>Lang Thị Hoài</t>
  </si>
  <si>
    <t>Tăng Văn Tân</t>
  </si>
  <si>
    <t>Chuyển về Trung tâm y tế</t>
  </si>
  <si>
    <t>Vi Thị Hồng</t>
  </si>
  <si>
    <t>VIII</t>
  </si>
  <si>
    <t>CHÂU BÍNH</t>
  </si>
  <si>
    <t>Trần Xuân Hòa</t>
  </si>
  <si>
    <t>Trần Thị Xuyến</t>
  </si>
  <si>
    <t>Vi Thị Lý</t>
  </si>
  <si>
    <t>Vang Thanh Bình</t>
  </si>
  <si>
    <t>Mạc Thị Thuyết</t>
  </si>
  <si>
    <t>Phan Thu Hương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</si>
  <si>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</si>
  <si>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</si>
  <si>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</si>
  <si>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</si>
  <si>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</si>
  <si>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</si>
  <si>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</si>
  <si>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</si>
  <si>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</si>
  <si>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</si>
  <si>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</si>
  <si>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</si>
  <si>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</si>
  <si>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</si>
  <si>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</si>
  <si>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</si>
  <si>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</si>
  <si>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</si>
  <si>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</si>
  <si>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</si>
  <si>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</si>
  <si>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</si>
  <si>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</si>
  <si>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</si>
  <si>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</si>
  <si>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</si>
  <si>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Đặng Ngọc Linh</t>
  </si>
  <si>
    <t>Lô Thị Tâm</t>
  </si>
  <si>
    <t>Tổng cộng 12 trạm y tế:</t>
  </si>
  <si>
    <t xml:space="preserve"> Tiền ghi bằng chữ: Ba mươi hai triệu năm trăm nghìn đồng.</t>
  </si>
  <si>
    <t>Quỳ châu, ngày 28 tháng 4 năm 2020</t>
  </si>
  <si>
    <t xml:space="preserve">    NGƯỜI LẬP</t>
  </si>
  <si>
    <t xml:space="preserve">KẾ TOÁN TRƯỞNG </t>
  </si>
  <si>
    <t xml:space="preserve">THỦ TRƯỞNG ĐƠN VỊ </t>
  </si>
  <si>
    <t xml:space="preserve">Đinh Ngọc Khiêm         </t>
  </si>
  <si>
    <t xml:space="preserve">   Lê Hữu Ngọc</t>
  </si>
  <si>
    <t xml:space="preserve">Đặng Tân Minh </t>
  </si>
  <si>
    <t>BẢNG THANH TOÁN TIỀN THƯỞNG QUÝ 2 - NĂM 2020</t>
  </si>
  <si>
    <t>CHO CÁC CÁN BỘ TẠI TRẠM Y TẾ</t>
  </si>
  <si>
    <t>(Kèm Quyết định số:              /QĐ-TTYT ngày          /8/2020 của Giám đốc TTYT Quỳ châu)</t>
  </si>
  <si>
    <t xml:space="preserve">Tiền thường </t>
  </si>
  <si>
    <t>Thành tiền</t>
  </si>
  <si>
    <t>Có thời gian nghỉ ốm</t>
  </si>
  <si>
    <t>Có thời gian nghỉ sinh</t>
  </si>
  <si>
    <t>Đi học dài hạn</t>
  </si>
  <si>
    <t>Tăng Cường tại Trung tâm</t>
  </si>
  <si>
    <t>Nhận theo Trung tâm</t>
  </si>
  <si>
    <t xml:space="preserve"> Tiền ghi bằng chữ: Ba mươi triệu năm trăm đồng.</t>
  </si>
  <si>
    <t>Quỳ châu, ngày 28 tháng 8 năm 2020</t>
  </si>
  <si>
    <t>NGƯỜI LẬP</t>
  </si>
  <si>
    <t>Đinh Ngọc Khiêm                             Lê Hữu Ngọc</t>
  </si>
  <si>
    <t>Tiền chi liên hoan cb về hưu</t>
  </si>
  <si>
    <t>Thu ARV</t>
  </si>
  <si>
    <t>Chi ARV ( tính cả bù lương 35%)</t>
  </si>
  <si>
    <t>5= 6 +…+14</t>
  </si>
  <si>
    <t>15=16+…+23</t>
  </si>
  <si>
    <t>Xét nghiệm HIV tháng 12 năm 2019</t>
  </si>
  <si>
    <t>TỔNG HỢP KINH PHÍ CỦA TRẠM Y TẾ XÃ NĂM 2020</t>
  </si>
  <si>
    <t>Tiền PCCC</t>
  </si>
  <si>
    <t>25=5-15</t>
  </si>
  <si>
    <t>26=25*35%</t>
  </si>
  <si>
    <t>27=25-26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</si>
</sst>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₫_-;\-* #,##0.00\ _₫_-;_-* &quot;-&quot;??\ _₫_-;_-@_-"/>
    <numFmt numFmtId="164" formatCode="_(* #,##0_);_(* \(#,##0\);_(* &quot;-&quot;??_);_(@_)"/>
    <numFmt numFmtId="165" formatCode="###\ ###\ ###"/>
    <numFmt numFmtId="166" formatCode="###\ ###\ ###\ ###"/>
    <numFmt numFmtId="167" formatCode="_(* #,##0_);_(* \(#,##0\);_(* &quot;-&quot;???_);_(@_)"/>
    <numFmt numFmtId="168" formatCode="_(* #,##0.0000_);_(* \(#,##0.0000\);_(* &quot;-&quot;??_);_(@_)"/>
    <numFmt numFmtId="169" formatCode="0.000"/>
    <numFmt numFmtId="170" formatCode="_(* #,##0.00_);_(* \(#,##0.00\);_(* &quot;-&quot;??_);_(@_)"/>
  </numFmts>
  <fonts count="55">
    <font>
      <sz val="12"/>
      <name val=".VnTime"/>
    </font>
    <font>
      <i/>
      <sz val="14"/>
      <name val=".VnTime"/>
      <family val="2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rgb="FF000000"/>
      <name val="Calibri"/>
      <family val="2"/>
      <charset val="163"/>
    </font>
    <font>
      <sz val="14"/>
      <name val=".VnTime"/>
      <family val="2"/>
    </font>
    <font>
      <b/>
      <sz val="20"/>
      <name val=".VnTimeH"/>
      <family val="2"/>
    </font>
    <font>
      <b/>
      <sz val="14"/>
      <name val=".VnTime"/>
      <family val="2"/>
    </font>
    <font>
      <i/>
      <sz val="14"/>
      <name val=".VnTime"/>
      <family val="2"/>
    </font>
    <font>
      <i/>
      <sz val="12"/>
      <name val=".VnTime"/>
      <family val="2"/>
    </font>
    <font>
      <sz val="11"/>
      <color theme="1"/>
      <name val="Calibri"/>
      <family val="2"/>
    </font>
    <font>
      <b/>
      <sz val="10"/>
      <color indexed="8"/>
      <name val="Times New Roman"/>
      <family val="1"/>
    </font>
    <font>
      <b/>
      <sz val="10"/>
      <name val=".VnTime"/>
      <family val="2"/>
    </font>
    <font>
      <b/>
      <sz val="8"/>
      <name val=".VnTime"/>
      <family val="2"/>
      <charset val="163"/>
    </font>
    <font>
      <b/>
      <sz val="8"/>
      <name val="Times New Roman"/>
      <family val="1"/>
      <charset val="163"/>
      <scheme val="major"/>
    </font>
    <font>
      <b/>
      <sz val="8"/>
      <color indexed="8"/>
      <name val="Times New Roman"/>
      <family val="1"/>
    </font>
    <font>
      <b/>
      <sz val="10"/>
      <name val="Times New Roman"/>
      <family val="1"/>
      <charset val="163"/>
      <scheme val="major"/>
    </font>
    <font>
      <b/>
      <i/>
      <sz val="14"/>
      <name val="Times New Roman"/>
      <family val="1"/>
      <scheme val="major"/>
    </font>
    <font>
      <b/>
      <sz val="16"/>
      <name val=".VnTimeH"/>
      <family val="2"/>
    </font>
    <font>
      <sz val="16"/>
      <name val=".VnTime"/>
      <family val="2"/>
    </font>
    <font>
      <b/>
      <sz val="16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1"/>
      <color rgb="FF000000"/>
      <name val="Calibri"/>
    </font>
    <font>
      <sz val="12"/>
      <name val=".VnTime"/>
      <family val="2"/>
    </font>
    <font>
      <sz val="13"/>
      <name val="Times New Roman"/>
      <family val="1"/>
      <scheme val="major"/>
    </font>
    <font>
      <b/>
      <sz val="13"/>
      <name val="Times New Roman"/>
      <family val="1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4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i/>
      <sz val="7"/>
      <color rgb="FF000000"/>
      <name val="Times New Roman"/>
    </font>
    <font>
      <i/>
      <sz val="9"/>
      <color rgb="FF000000"/>
      <name val="Times New Roman"/>
    </font>
    <font>
      <b/>
      <sz val="12"/>
      <name val="Times New Roman"/>
      <family val="1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Arial"/>
      <family val="2"/>
      <charset val="163"/>
      <scheme val="minor"/>
    </font>
    <font>
      <b/>
      <sz val="8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Arial"/>
      <family val="2"/>
      <charset val="163"/>
    </font>
    <font>
      <sz val="11"/>
      <name val="Times New Roman"/>
      <family val="1"/>
    </font>
    <font>
      <sz val="10"/>
      <name val="Arial"/>
    </font>
    <font>
      <sz val="6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  <scheme val="major"/>
    </font>
    <font>
      <sz val="6"/>
      <name val="Times New Roman"/>
      <family val="1"/>
      <charset val="163"/>
    </font>
    <font>
      <b/>
      <sz val="6"/>
      <name val="Times New Roman"/>
      <family val="1"/>
      <charset val="163"/>
    </font>
    <font>
      <b/>
      <sz val="6"/>
      <name val=".VnTime"/>
      <family val="2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10" fillId="0" borderId="0"/>
    <xf numFmtId="0" fontId="3" fillId="0" borderId="0"/>
    <xf numFmtId="0" fontId="26" fillId="0" borderId="0"/>
    <xf numFmtId="0" fontId="27" fillId="0" borderId="0"/>
    <xf numFmtId="0" fontId="27" fillId="0" borderId="0"/>
    <xf numFmtId="0" fontId="40" fillId="0" borderId="0"/>
    <xf numFmtId="43" fontId="40" fillId="0" borderId="0" applyFont="0" applyFill="0" applyBorder="0" applyAlignment="0" applyProtection="0"/>
    <xf numFmtId="0" fontId="48" fillId="0" borderId="0"/>
    <xf numFmtId="170" fontId="48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5" fillId="0" borderId="0" xfId="0" applyFont="1"/>
    <xf numFmtId="166" fontId="5" fillId="0" borderId="0" xfId="0" applyNumberFormat="1" applyFont="1"/>
    <xf numFmtId="0" fontId="8" fillId="0" borderId="0" xfId="0" applyFont="1"/>
    <xf numFmtId="165" fontId="8" fillId="0" borderId="0" xfId="0" applyNumberFormat="1" applyFont="1"/>
    <xf numFmtId="0" fontId="7" fillId="0" borderId="0" xfId="0" applyFont="1"/>
    <xf numFmtId="165" fontId="7" fillId="0" borderId="0" xfId="0" applyNumberFormat="1" applyFont="1"/>
    <xf numFmtId="0" fontId="9" fillId="0" borderId="0" xfId="0" applyFont="1"/>
    <xf numFmtId="0" fontId="12" fillId="0" borderId="0" xfId="0" applyFont="1"/>
    <xf numFmtId="0" fontId="6" fillId="0" borderId="0" xfId="0" applyFont="1" applyAlignment="1"/>
    <xf numFmtId="0" fontId="7" fillId="0" borderId="0" xfId="0" applyFont="1" applyAlignment="1">
      <alignment horizontal="center"/>
    </xf>
    <xf numFmtId="1" fontId="5" fillId="0" borderId="0" xfId="0" applyNumberFormat="1" applyFont="1"/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64" fontId="13" fillId="0" borderId="4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7" fillId="0" borderId="0" xfId="0" applyFont="1" applyAlignment="1">
      <alignment vertical="center"/>
    </xf>
    <xf numFmtId="165" fontId="17" fillId="0" borderId="0" xfId="0" applyNumberFormat="1" applyFont="1" applyAlignment="1">
      <alignment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/>
    <xf numFmtId="0" fontId="15" fillId="2" borderId="7" xfId="3" applyFont="1" applyFill="1" applyBorder="1" applyAlignment="1">
      <alignment horizontal="center" vertical="center" wrapText="1"/>
    </xf>
    <xf numFmtId="165" fontId="21" fillId="0" borderId="4" xfId="0" applyNumberFormat="1" applyFont="1" applyBorder="1" applyAlignment="1">
      <alignment horizontal="right" vertical="center"/>
    </xf>
    <xf numFmtId="164" fontId="22" fillId="0" borderId="4" xfId="0" applyNumberFormat="1" applyFont="1" applyBorder="1" applyAlignment="1">
      <alignment horizontal="right" vertical="center"/>
    </xf>
    <xf numFmtId="164" fontId="21" fillId="0" borderId="4" xfId="0" applyNumberFormat="1" applyFont="1" applyBorder="1" applyAlignment="1">
      <alignment horizontal="right" vertical="center"/>
    </xf>
    <xf numFmtId="164" fontId="23" fillId="0" borderId="4" xfId="4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vertical="center"/>
    </xf>
    <xf numFmtId="164" fontId="22" fillId="0" borderId="4" xfId="0" applyNumberFormat="1" applyFont="1" applyBorder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164" fontId="5" fillId="0" borderId="0" xfId="0" applyNumberFormat="1" applyFont="1"/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21" fillId="3" borderId="4" xfId="0" applyNumberFormat="1" applyFont="1" applyFill="1" applyBorder="1" applyAlignment="1">
      <alignment vertical="center"/>
    </xf>
    <xf numFmtId="0" fontId="28" fillId="0" borderId="0" xfId="0" applyFont="1"/>
    <xf numFmtId="0" fontId="29" fillId="0" borderId="0" xfId="0" applyFont="1"/>
    <xf numFmtId="0" fontId="24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164" fontId="17" fillId="0" borderId="0" xfId="0" applyNumberFormat="1" applyFont="1" applyAlignment="1">
      <alignment vertical="center"/>
    </xf>
    <xf numFmtId="164" fontId="21" fillId="3" borderId="4" xfId="0" applyNumberFormat="1" applyFont="1" applyFill="1" applyBorder="1" applyAlignment="1">
      <alignment horizontal="right" vertical="center"/>
    </xf>
    <xf numFmtId="0" fontId="26" fillId="0" borderId="0" xfId="5"/>
    <xf numFmtId="0" fontId="33" fillId="0" borderId="14" xfId="5" applyFont="1" applyBorder="1" applyAlignment="1">
      <alignment horizontal="center" vertical="center" wrapText="1" shrinkToFit="1"/>
    </xf>
    <xf numFmtId="0" fontId="33" fillId="0" borderId="15" xfId="5" applyFont="1" applyBorder="1" applyAlignment="1">
      <alignment horizontal="center" vertical="center" wrapText="1" shrinkToFit="1"/>
    </xf>
    <xf numFmtId="49" fontId="33" fillId="0" borderId="14" xfId="5" applyNumberFormat="1" applyFont="1" applyBorder="1" applyAlignment="1">
      <alignment horizontal="center" vertical="center" wrapText="1" shrinkToFit="1"/>
    </xf>
    <xf numFmtId="3" fontId="33" fillId="0" borderId="14" xfId="5" applyNumberFormat="1" applyFont="1" applyBorder="1" applyAlignment="1">
      <alignment horizontal="right" vertical="center" wrapText="1" shrinkToFit="1"/>
    </xf>
    <xf numFmtId="4" fontId="33" fillId="0" borderId="14" xfId="5" applyNumberFormat="1" applyFont="1" applyBorder="1" applyAlignment="1">
      <alignment horizontal="right" vertical="center" wrapText="1" shrinkToFit="1"/>
    </xf>
    <xf numFmtId="0" fontId="34" fillId="0" borderId="15" xfId="5" applyFont="1" applyBorder="1" applyAlignment="1">
      <alignment horizontal="center" vertical="center" wrapText="1" shrinkToFit="1"/>
    </xf>
    <xf numFmtId="0" fontId="34" fillId="0" borderId="14" xfId="5" applyFont="1" applyBorder="1" applyAlignment="1">
      <alignment horizontal="center" vertical="center" wrapText="1" shrinkToFit="1"/>
    </xf>
    <xf numFmtId="0" fontId="33" fillId="0" borderId="14" xfId="5" applyFont="1" applyBorder="1" applyAlignment="1">
      <alignment horizontal="left" vertical="top" wrapText="1" shrinkToFit="1"/>
    </xf>
    <xf numFmtId="0" fontId="24" fillId="0" borderId="1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37" fillId="2" borderId="0" xfId="7" applyFont="1" applyFill="1" applyAlignment="1">
      <alignment horizontal="left"/>
    </xf>
    <xf numFmtId="0" fontId="38" fillId="0" borderId="0" xfId="7" applyFont="1"/>
    <xf numFmtId="0" fontId="39" fillId="0" borderId="0" xfId="7" applyFont="1"/>
    <xf numFmtId="0" fontId="39" fillId="3" borderId="0" xfId="7" applyFont="1" applyFill="1" applyAlignment="1">
      <alignment horizontal="center"/>
    </xf>
    <xf numFmtId="0" fontId="22" fillId="0" borderId="0" xfId="7" applyFont="1"/>
    <xf numFmtId="0" fontId="22" fillId="3" borderId="0" xfId="7" applyFont="1" applyFill="1"/>
    <xf numFmtId="0" fontId="38" fillId="3" borderId="0" xfId="7" applyFont="1" applyFill="1"/>
    <xf numFmtId="167" fontId="22" fillId="0" borderId="0" xfId="7" applyNumberFormat="1" applyFont="1"/>
    <xf numFmtId="2" fontId="38" fillId="3" borderId="0" xfId="7" applyNumberFormat="1" applyFont="1" applyFill="1" applyAlignment="1">
      <alignment horizontal="center"/>
    </xf>
    <xf numFmtId="0" fontId="2" fillId="2" borderId="0" xfId="8" applyFont="1" applyFill="1" applyAlignment="1">
      <alignment vertical="center" wrapText="1"/>
    </xf>
    <xf numFmtId="0" fontId="38" fillId="2" borderId="0" xfId="8" applyFont="1" applyFill="1" applyAlignment="1">
      <alignment vertical="center"/>
    </xf>
    <xf numFmtId="167" fontId="21" fillId="0" borderId="0" xfId="7" applyNumberFormat="1" applyFont="1"/>
    <xf numFmtId="0" fontId="21" fillId="0" borderId="0" xfId="7" applyFont="1"/>
    <xf numFmtId="0" fontId="24" fillId="3" borderId="0" xfId="8" applyFont="1" applyFill="1"/>
    <xf numFmtId="0" fontId="38" fillId="3" borderId="0" xfId="8" applyFont="1" applyFill="1" applyAlignment="1">
      <alignment horizontal="center"/>
    </xf>
    <xf numFmtId="0" fontId="2" fillId="3" borderId="0" xfId="8" applyFont="1" applyFill="1" applyAlignment="1">
      <alignment horizontal="center"/>
    </xf>
    <xf numFmtId="0" fontId="21" fillId="3" borderId="0" xfId="8" applyFont="1" applyFill="1"/>
    <xf numFmtId="0" fontId="41" fillId="3" borderId="4" xfId="8" applyFont="1" applyFill="1" applyBorder="1" applyAlignment="1">
      <alignment horizontal="center" vertical="center" wrapText="1"/>
    </xf>
    <xf numFmtId="38" fontId="42" fillId="3" borderId="4" xfId="8" applyNumberFormat="1" applyFont="1" applyFill="1" applyBorder="1" applyAlignment="1">
      <alignment horizontal="right" wrapText="1"/>
    </xf>
    <xf numFmtId="38" fontId="42" fillId="3" borderId="4" xfId="8" applyNumberFormat="1" applyFont="1" applyFill="1" applyBorder="1" applyAlignment="1">
      <alignment horizontal="right" vertical="center" wrapText="1"/>
    </xf>
    <xf numFmtId="0" fontId="41" fillId="3" borderId="0" xfId="8" applyFont="1" applyFill="1"/>
    <xf numFmtId="0" fontId="25" fillId="3" borderId="4" xfId="8" applyFont="1" applyFill="1" applyBorder="1" applyAlignment="1">
      <alignment horizontal="center"/>
    </xf>
    <xf numFmtId="0" fontId="39" fillId="3" borderId="4" xfId="8" applyFont="1" applyFill="1" applyBorder="1"/>
    <xf numFmtId="38" fontId="43" fillId="3" borderId="4" xfId="8" applyNumberFormat="1" applyFont="1" applyFill="1" applyBorder="1" applyAlignment="1">
      <alignment horizontal="right"/>
    </xf>
    <xf numFmtId="3" fontId="24" fillId="3" borderId="4" xfId="8" applyNumberFormat="1" applyFont="1" applyFill="1" applyBorder="1" applyAlignment="1">
      <alignment horizontal="right"/>
    </xf>
    <xf numFmtId="3" fontId="25" fillId="3" borderId="4" xfId="8" applyNumberFormat="1" applyFont="1" applyFill="1" applyBorder="1"/>
    <xf numFmtId="0" fontId="25" fillId="3" borderId="0" xfId="8" applyFont="1" applyFill="1"/>
    <xf numFmtId="38" fontId="42" fillId="3" borderId="4" xfId="8" applyNumberFormat="1" applyFont="1" applyFill="1" applyBorder="1" applyAlignment="1">
      <alignment horizontal="right"/>
    </xf>
    <xf numFmtId="0" fontId="39" fillId="3" borderId="4" xfId="8" applyFont="1" applyFill="1" applyBorder="1" applyAlignment="1">
      <alignment horizontal="left"/>
    </xf>
    <xf numFmtId="0" fontId="43" fillId="3" borderId="0" xfId="8" applyFont="1" applyFill="1"/>
    <xf numFmtId="3" fontId="25" fillId="3" borderId="4" xfId="8" applyNumberFormat="1" applyFont="1" applyFill="1" applyBorder="1" applyAlignment="1">
      <alignment wrapText="1"/>
    </xf>
    <xf numFmtId="3" fontId="42" fillId="3" borderId="4" xfId="8" applyNumberFormat="1" applyFont="1" applyFill="1" applyBorder="1" applyAlignment="1">
      <alignment horizontal="right"/>
    </xf>
    <xf numFmtId="3" fontId="41" fillId="3" borderId="0" xfId="8" applyNumberFormat="1" applyFont="1" applyFill="1"/>
    <xf numFmtId="3" fontId="21" fillId="3" borderId="4" xfId="8" applyNumberFormat="1" applyFont="1" applyFill="1" applyBorder="1" applyAlignment="1">
      <alignment wrapText="1"/>
    </xf>
    <xf numFmtId="43" fontId="39" fillId="3" borderId="4" xfId="9" applyFont="1" applyFill="1" applyBorder="1" applyAlignment="1"/>
    <xf numFmtId="38" fontId="44" fillId="3" borderId="4" xfId="8" applyNumberFormat="1" applyFont="1" applyFill="1" applyBorder="1" applyAlignment="1">
      <alignment horizontal="right"/>
    </xf>
    <xf numFmtId="0" fontId="45" fillId="3" borderId="0" xfId="8" applyFont="1" applyFill="1" applyAlignment="1">
      <alignment horizontal="left"/>
    </xf>
    <xf numFmtId="0" fontId="38" fillId="3" borderId="0" xfId="8" applyFont="1" applyFill="1"/>
    <xf numFmtId="38" fontId="38" fillId="3" borderId="0" xfId="8" applyNumberFormat="1" applyFont="1" applyFill="1" applyAlignment="1">
      <alignment horizontal="right"/>
    </xf>
    <xf numFmtId="38" fontId="44" fillId="3" borderId="0" xfId="8" applyNumberFormat="1" applyFont="1" applyFill="1" applyAlignment="1">
      <alignment horizontal="right"/>
    </xf>
    <xf numFmtId="0" fontId="24" fillId="3" borderId="0" xfId="8" applyFont="1" applyFill="1" applyAlignment="1">
      <alignment horizontal="left"/>
    </xf>
    <xf numFmtId="168" fontId="38" fillId="3" borderId="0" xfId="9" applyNumberFormat="1" applyFont="1" applyFill="1" applyAlignment="1">
      <alignment horizontal="right"/>
    </xf>
    <xf numFmtId="169" fontId="45" fillId="0" borderId="0" xfId="8" applyNumberFormat="1" applyFont="1" applyAlignment="1">
      <alignment horizontal="left"/>
    </xf>
    <xf numFmtId="0" fontId="39" fillId="3" borderId="0" xfId="8" applyFont="1" applyFill="1"/>
    <xf numFmtId="0" fontId="37" fillId="3" borderId="0" xfId="8" applyFont="1" applyFill="1" applyAlignment="1">
      <alignment horizontal="left"/>
    </xf>
    <xf numFmtId="168" fontId="45" fillId="0" borderId="0" xfId="9" applyNumberFormat="1" applyFont="1" applyAlignment="1">
      <alignment horizontal="right"/>
    </xf>
    <xf numFmtId="0" fontId="46" fillId="0" borderId="0" xfId="8" applyFont="1" applyAlignment="1">
      <alignment horizontal="center"/>
    </xf>
    <xf numFmtId="0" fontId="45" fillId="0" borderId="0" xfId="8" applyFont="1" applyAlignment="1">
      <alignment horizontal="center"/>
    </xf>
    <xf numFmtId="0" fontId="45" fillId="3" borderId="0" xfId="8" applyFont="1" applyFill="1"/>
    <xf numFmtId="38" fontId="45" fillId="0" borderId="0" xfId="8" applyNumberFormat="1" applyFont="1" applyAlignment="1">
      <alignment horizontal="right"/>
    </xf>
    <xf numFmtId="169" fontId="47" fillId="0" borderId="0" xfId="8" applyNumberFormat="1" applyFont="1" applyAlignment="1">
      <alignment horizontal="center"/>
    </xf>
    <xf numFmtId="0" fontId="47" fillId="3" borderId="0" xfId="8" applyFont="1" applyFill="1"/>
    <xf numFmtId="168" fontId="47" fillId="0" borderId="0" xfId="9" applyNumberFormat="1" applyFont="1" applyAlignment="1">
      <alignment horizontal="right"/>
    </xf>
    <xf numFmtId="1" fontId="47" fillId="0" borderId="0" xfId="8" applyNumberFormat="1" applyFont="1" applyAlignment="1">
      <alignment horizontal="center"/>
    </xf>
    <xf numFmtId="0" fontId="45" fillId="3" borderId="0" xfId="7" applyFont="1" applyFill="1"/>
    <xf numFmtId="0" fontId="47" fillId="0" borderId="0" xfId="8" applyFont="1" applyAlignment="1">
      <alignment horizontal="right"/>
    </xf>
    <xf numFmtId="167" fontId="45" fillId="3" borderId="0" xfId="7" applyNumberFormat="1" applyFont="1" applyFill="1"/>
    <xf numFmtId="0" fontId="45" fillId="0" borderId="0" xfId="7" applyFont="1" applyAlignment="1">
      <alignment horizontal="left"/>
    </xf>
    <xf numFmtId="169" fontId="45" fillId="0" borderId="0" xfId="7" applyNumberFormat="1" applyFont="1" applyAlignment="1">
      <alignment horizontal="center"/>
    </xf>
    <xf numFmtId="0" fontId="43" fillId="3" borderId="0" xfId="7" applyFont="1" applyFill="1"/>
    <xf numFmtId="168" fontId="45" fillId="0" borderId="0" xfId="9" applyNumberFormat="1" applyFont="1" applyAlignment="1">
      <alignment horizontal="center"/>
    </xf>
    <xf numFmtId="167" fontId="43" fillId="3" borderId="0" xfId="7" applyNumberFormat="1" applyFont="1" applyFill="1"/>
    <xf numFmtId="0" fontId="24" fillId="3" borderId="0" xfId="7" applyFont="1" applyFill="1" applyAlignment="1">
      <alignment horizontal="center"/>
    </xf>
    <xf numFmtId="2" fontId="21" fillId="3" borderId="0" xfId="7" applyNumberFormat="1" applyFont="1" applyFill="1" applyAlignment="1">
      <alignment horizontal="center"/>
    </xf>
    <xf numFmtId="0" fontId="21" fillId="3" borderId="0" xfId="7" applyFont="1" applyFill="1" applyAlignment="1">
      <alignment horizontal="center"/>
    </xf>
    <xf numFmtId="169" fontId="21" fillId="3" borderId="0" xfId="7" applyNumberFormat="1" applyFont="1" applyFill="1" applyAlignment="1">
      <alignment horizontal="center"/>
    </xf>
    <xf numFmtId="3" fontId="43" fillId="3" borderId="0" xfId="8" applyNumberFormat="1" applyFont="1" applyFill="1"/>
    <xf numFmtId="0" fontId="2" fillId="2" borderId="0" xfId="10" applyFont="1" applyFill="1" applyAlignment="1">
      <alignment vertical="center" wrapText="1"/>
    </xf>
    <xf numFmtId="0" fontId="38" fillId="2" borderId="0" xfId="10" applyFont="1" applyFill="1" applyAlignment="1">
      <alignment vertical="center"/>
    </xf>
    <xf numFmtId="0" fontId="21" fillId="3" borderId="0" xfId="10" applyFont="1" applyFill="1"/>
    <xf numFmtId="0" fontId="41" fillId="3" borderId="4" xfId="10" applyFont="1" applyFill="1" applyBorder="1" applyAlignment="1">
      <alignment horizontal="center" vertical="center" wrapText="1"/>
    </xf>
    <xf numFmtId="38" fontId="41" fillId="3" borderId="4" xfId="10" applyNumberFormat="1" applyFont="1" applyFill="1" applyBorder="1" applyAlignment="1">
      <alignment horizontal="center" vertical="center" wrapText="1"/>
    </xf>
    <xf numFmtId="0" fontId="41" fillId="3" borderId="0" xfId="10" applyFont="1" applyFill="1"/>
    <xf numFmtId="0" fontId="25" fillId="3" borderId="4" xfId="10" applyFont="1" applyFill="1" applyBorder="1" applyAlignment="1">
      <alignment horizontal="center"/>
    </xf>
    <xf numFmtId="0" fontId="39" fillId="3" borderId="4" xfId="10" applyFont="1" applyFill="1" applyBorder="1"/>
    <xf numFmtId="38" fontId="43" fillId="3" borderId="4" xfId="10" applyNumberFormat="1" applyFont="1" applyFill="1" applyBorder="1" applyAlignment="1">
      <alignment horizontal="right"/>
    </xf>
    <xf numFmtId="3" fontId="24" fillId="3" borderId="4" xfId="10" applyNumberFormat="1" applyFont="1" applyFill="1" applyBorder="1" applyAlignment="1">
      <alignment horizontal="right"/>
    </xf>
    <xf numFmtId="3" fontId="25" fillId="3" borderId="4" xfId="10" applyNumberFormat="1" applyFont="1" applyFill="1" applyBorder="1"/>
    <xf numFmtId="0" fontId="25" fillId="3" borderId="0" xfId="10" applyFont="1" applyFill="1"/>
    <xf numFmtId="38" fontId="42" fillId="3" borderId="4" xfId="10" applyNumberFormat="1" applyFont="1" applyFill="1" applyBorder="1" applyAlignment="1">
      <alignment horizontal="right"/>
    </xf>
    <xf numFmtId="0" fontId="39" fillId="3" borderId="4" xfId="10" applyFont="1" applyFill="1" applyBorder="1" applyAlignment="1">
      <alignment horizontal="left"/>
    </xf>
    <xf numFmtId="0" fontId="43" fillId="3" borderId="0" xfId="10" applyFont="1" applyFill="1"/>
    <xf numFmtId="3" fontId="25" fillId="3" borderId="4" xfId="10" applyNumberFormat="1" applyFont="1" applyFill="1" applyBorder="1" applyAlignment="1">
      <alignment wrapText="1"/>
    </xf>
    <xf numFmtId="38" fontId="42" fillId="3" borderId="4" xfId="10" applyNumberFormat="1" applyFont="1" applyFill="1" applyBorder="1"/>
    <xf numFmtId="3" fontId="42" fillId="3" borderId="4" xfId="10" applyNumberFormat="1" applyFont="1" applyFill="1" applyBorder="1" applyAlignment="1">
      <alignment horizontal="right"/>
    </xf>
    <xf numFmtId="3" fontId="41" fillId="3" borderId="0" xfId="10" applyNumberFormat="1" applyFont="1" applyFill="1"/>
    <xf numFmtId="3" fontId="21" fillId="3" borderId="4" xfId="10" applyNumberFormat="1" applyFont="1" applyFill="1" applyBorder="1" applyAlignment="1">
      <alignment wrapText="1"/>
    </xf>
    <xf numFmtId="170" fontId="39" fillId="3" borderId="4" xfId="11" applyFont="1" applyFill="1" applyBorder="1" applyAlignment="1"/>
    <xf numFmtId="3" fontId="24" fillId="3" borderId="4" xfId="10" applyNumberFormat="1" applyFont="1" applyFill="1" applyBorder="1" applyAlignment="1">
      <alignment horizontal="center"/>
    </xf>
    <xf numFmtId="38" fontId="44" fillId="3" borderId="4" xfId="10" applyNumberFormat="1" applyFont="1" applyFill="1" applyBorder="1" applyAlignment="1">
      <alignment horizontal="right"/>
    </xf>
    <xf numFmtId="3" fontId="43" fillId="3" borderId="0" xfId="10" applyNumberFormat="1" applyFont="1" applyFill="1"/>
    <xf numFmtId="0" fontId="44" fillId="3" borderId="0" xfId="10" applyFont="1" applyFill="1" applyAlignment="1">
      <alignment horizontal="left"/>
    </xf>
    <xf numFmtId="0" fontId="44" fillId="3" borderId="0" xfId="10" applyFont="1" applyFill="1" applyAlignment="1">
      <alignment horizontal="center"/>
    </xf>
    <xf numFmtId="3" fontId="24" fillId="3" borderId="0" xfId="10" applyNumberFormat="1" applyFont="1" applyFill="1" applyAlignment="1">
      <alignment horizontal="center"/>
    </xf>
    <xf numFmtId="3" fontId="24" fillId="3" borderId="0" xfId="10" applyNumberFormat="1" applyFont="1" applyFill="1" applyAlignment="1">
      <alignment horizontal="right"/>
    </xf>
    <xf numFmtId="38" fontId="44" fillId="3" borderId="0" xfId="10" applyNumberFormat="1" applyFont="1" applyFill="1" applyAlignment="1">
      <alignment horizontal="right"/>
    </xf>
    <xf numFmtId="0" fontId="24" fillId="3" borderId="0" xfId="10" applyFont="1" applyFill="1" applyAlignment="1">
      <alignment horizontal="left"/>
    </xf>
    <xf numFmtId="0" fontId="24" fillId="3" borderId="0" xfId="10" applyFont="1" applyFill="1"/>
    <xf numFmtId="168" fontId="38" fillId="3" borderId="0" xfId="11" applyNumberFormat="1" applyFont="1" applyFill="1" applyAlignment="1">
      <alignment horizontal="right"/>
    </xf>
    <xf numFmtId="169" fontId="45" fillId="0" borderId="0" xfId="10" applyNumberFormat="1" applyFont="1" applyAlignment="1">
      <alignment horizontal="left"/>
    </xf>
    <xf numFmtId="0" fontId="39" fillId="3" borderId="0" xfId="10" applyFont="1" applyFill="1"/>
    <xf numFmtId="0" fontId="37" fillId="3" borderId="0" xfId="10" applyFont="1" applyFill="1" applyAlignment="1">
      <alignment horizontal="center"/>
    </xf>
    <xf numFmtId="168" fontId="45" fillId="0" borderId="0" xfId="11" applyNumberFormat="1" applyFont="1" applyAlignment="1">
      <alignment horizontal="right"/>
    </xf>
    <xf numFmtId="0" fontId="46" fillId="0" borderId="0" xfId="10" applyFont="1" applyAlignment="1">
      <alignment horizontal="center"/>
    </xf>
    <xf numFmtId="0" fontId="45" fillId="0" borderId="0" xfId="10" applyFont="1" applyAlignment="1">
      <alignment horizontal="center"/>
    </xf>
    <xf numFmtId="0" fontId="45" fillId="3" borderId="0" xfId="10" applyFont="1" applyFill="1"/>
    <xf numFmtId="38" fontId="45" fillId="0" borderId="0" xfId="10" applyNumberFormat="1" applyFont="1" applyAlignment="1">
      <alignment horizontal="right"/>
    </xf>
    <xf numFmtId="1" fontId="47" fillId="0" borderId="0" xfId="10" applyNumberFormat="1" applyFont="1" applyAlignment="1">
      <alignment horizontal="center"/>
    </xf>
    <xf numFmtId="0" fontId="47" fillId="0" borderId="0" xfId="10" applyFont="1" applyAlignment="1">
      <alignment horizontal="right"/>
    </xf>
    <xf numFmtId="168" fontId="45" fillId="0" borderId="0" xfId="11" applyNumberFormat="1" applyFont="1" applyAlignment="1">
      <alignment horizontal="center"/>
    </xf>
    <xf numFmtId="0" fontId="38" fillId="3" borderId="0" xfId="10" applyFont="1" applyFill="1"/>
    <xf numFmtId="0" fontId="49" fillId="0" borderId="2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165" fontId="52" fillId="0" borderId="4" xfId="0" applyNumberFormat="1" applyFont="1" applyBorder="1" applyAlignment="1">
      <alignment horizontal="right" vertical="center"/>
    </xf>
    <xf numFmtId="164" fontId="53" fillId="0" borderId="4" xfId="0" applyNumberFormat="1" applyFont="1" applyBorder="1" applyAlignment="1">
      <alignment horizontal="right" vertical="center"/>
    </xf>
    <xf numFmtId="164" fontId="52" fillId="0" borderId="4" xfId="0" applyNumberFormat="1" applyFont="1" applyBorder="1" applyAlignment="1">
      <alignment horizontal="right" vertical="center"/>
    </xf>
    <xf numFmtId="164" fontId="52" fillId="3" borderId="4" xfId="0" applyNumberFormat="1" applyFont="1" applyFill="1" applyBorder="1" applyAlignment="1">
      <alignment horizontal="right" vertical="center"/>
    </xf>
    <xf numFmtId="164" fontId="54" fillId="0" borderId="4" xfId="0" applyNumberFormat="1" applyFont="1" applyBorder="1" applyAlignment="1">
      <alignment vertical="center"/>
    </xf>
    <xf numFmtId="165" fontId="53" fillId="0" borderId="1" xfId="0" applyNumberFormat="1" applyFont="1" applyBorder="1" applyAlignment="1">
      <alignment vertical="center"/>
    </xf>
    <xf numFmtId="164" fontId="53" fillId="0" borderId="4" xfId="0" applyNumberFormat="1" applyFont="1" applyBorder="1" applyAlignment="1">
      <alignment vertical="center"/>
    </xf>
    <xf numFmtId="164" fontId="54" fillId="0" borderId="1" xfId="0" applyNumberFormat="1" applyFont="1" applyBorder="1" applyAlignment="1">
      <alignment vertical="center"/>
    </xf>
    <xf numFmtId="0" fontId="22" fillId="0" borderId="1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44" fillId="3" borderId="4" xfId="8" applyFont="1" applyFill="1" applyBorder="1" applyAlignment="1">
      <alignment horizontal="center"/>
    </xf>
    <xf numFmtId="0" fontId="2" fillId="2" borderId="0" xfId="8" applyFont="1" applyFill="1" applyAlignment="1">
      <alignment horizontal="center" vertical="center" wrapText="1"/>
    </xf>
    <xf numFmtId="0" fontId="38" fillId="2" borderId="0" xfId="8" applyFont="1" applyFill="1" applyAlignment="1">
      <alignment horizontal="center" vertical="center"/>
    </xf>
    <xf numFmtId="0" fontId="22" fillId="3" borderId="4" xfId="8" applyFont="1" applyFill="1" applyBorder="1" applyAlignment="1">
      <alignment horizontal="center" vertical="center" wrapText="1"/>
    </xf>
    <xf numFmtId="0" fontId="44" fillId="3" borderId="4" xfId="10" applyFont="1" applyFill="1" applyBorder="1" applyAlignment="1">
      <alignment horizontal="center"/>
    </xf>
    <xf numFmtId="0" fontId="2" fillId="2" borderId="0" xfId="10" applyFont="1" applyFill="1" applyAlignment="1">
      <alignment horizontal="center" vertical="center" wrapText="1"/>
    </xf>
    <xf numFmtId="0" fontId="38" fillId="2" borderId="0" xfId="10" applyFont="1" applyFill="1" applyAlignment="1">
      <alignment horizontal="center" vertical="center"/>
    </xf>
    <xf numFmtId="0" fontId="22" fillId="3" borderId="4" xfId="10" applyFont="1" applyFill="1" applyBorder="1" applyAlignment="1">
      <alignment horizontal="center" vertical="center" wrapText="1"/>
    </xf>
    <xf numFmtId="0" fontId="36" fillId="0" borderId="0" xfId="5" applyFont="1" applyAlignment="1">
      <alignment horizontal="right" vertical="center" wrapText="1" shrinkToFit="1"/>
    </xf>
    <xf numFmtId="49" fontId="36" fillId="0" borderId="0" xfId="5" applyNumberFormat="1" applyFont="1" applyAlignment="1">
      <alignment horizontal="right" vertical="center" wrapText="1" shrinkToFit="1"/>
    </xf>
    <xf numFmtId="49" fontId="34" fillId="0" borderId="12" xfId="5" applyNumberFormat="1" applyFont="1" applyBorder="1" applyAlignment="1">
      <alignment horizontal="left" vertical="center" wrapText="1" shrinkToFit="1"/>
    </xf>
    <xf numFmtId="49" fontId="35" fillId="0" borderId="0" xfId="5" applyNumberFormat="1" applyFont="1" applyAlignment="1">
      <alignment horizontal="center" vertical="center" wrapText="1" shrinkToFit="1"/>
    </xf>
    <xf numFmtId="0" fontId="34" fillId="0" borderId="0" xfId="5" applyFont="1" applyAlignment="1">
      <alignment horizontal="center" vertical="center" wrapText="1" shrinkToFit="1"/>
    </xf>
    <xf numFmtId="0" fontId="33" fillId="0" borderId="0" xfId="5" applyFont="1" applyAlignment="1">
      <alignment horizontal="center" vertical="center" wrapText="1" shrinkToFit="1"/>
    </xf>
    <xf numFmtId="0" fontId="33" fillId="0" borderId="13" xfId="5" applyFont="1" applyBorder="1" applyAlignment="1">
      <alignment horizontal="center" vertical="center" wrapText="1" shrinkToFit="1"/>
    </xf>
    <xf numFmtId="0" fontId="33" fillId="0" borderId="14" xfId="5" applyFont="1" applyBorder="1" applyAlignment="1">
      <alignment horizontal="center" vertical="center" wrapText="1" shrinkToFit="1"/>
    </xf>
    <xf numFmtId="0" fontId="33" fillId="0" borderId="12" xfId="5" applyFont="1" applyBorder="1" applyAlignment="1">
      <alignment horizontal="center" vertical="center" wrapText="1" shrinkToFit="1"/>
    </xf>
    <xf numFmtId="0" fontId="30" fillId="0" borderId="0" xfId="5" applyFont="1" applyAlignment="1">
      <alignment horizontal="left" vertical="center" wrapText="1" shrinkToFit="1"/>
    </xf>
    <xf numFmtId="0" fontId="31" fillId="0" borderId="0" xfId="5" applyFont="1" applyAlignment="1">
      <alignment horizontal="left" vertical="center" wrapText="1" shrinkToFit="1"/>
    </xf>
    <xf numFmtId="0" fontId="32" fillId="0" borderId="0" xfId="5" applyFont="1" applyAlignment="1">
      <alignment horizontal="center" vertical="center" wrapText="1" shrinkToFit="1"/>
    </xf>
    <xf numFmtId="0" fontId="30" fillId="0" borderId="0" xfId="5" applyFont="1" applyAlignment="1">
      <alignment horizontal="center" vertical="center" wrapText="1" shrinkToFit="1"/>
    </xf>
    <xf numFmtId="0" fontId="33" fillId="0" borderId="0" xfId="5" applyFont="1" applyAlignment="1">
      <alignment horizontal="right" vertical="center" wrapText="1" shrinkToFit="1"/>
    </xf>
  </cellXfs>
  <cellStyles count="12">
    <cellStyle name="Bình thường 2" xfId="1"/>
    <cellStyle name="Bình thường 3" xfId="2"/>
    <cellStyle name="Bình thường 4" xfId="5"/>
    <cellStyle name="Bình thường 5" xfId="4"/>
    <cellStyle name="Bình thường 6" xfId="6"/>
    <cellStyle name="Bình thường 7" xfId="8"/>
    <cellStyle name="Bình thường 8" xfId="10"/>
    <cellStyle name="Dấu phẩy 2" xfId="9"/>
    <cellStyle name="Dấu phẩy 3" xfId="11"/>
    <cellStyle name="Normal" xfId="0" builtinId="0"/>
    <cellStyle name="Normal 2 8" xfId="3"/>
    <cellStyle name="Normal_Luong 201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483A71F5-2EF9-43D1-A1A8-B308CDCE849B}"/>
            </a:ext>
          </a:extLst>
        </xdr:cNvPr>
        <xdr:cNvSpPr>
          <a:spLocks noChangeShapeType="1"/>
        </xdr:cNvSpPr>
      </xdr:nvSpPr>
      <xdr:spPr bwMode="auto">
        <a:xfrm flipV="1">
          <a:off x="880110" y="430530"/>
          <a:ext cx="216027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3026BED0-61DE-40C2-BB09-159CD5ED5107}"/>
            </a:ext>
          </a:extLst>
        </xdr:cNvPr>
        <xdr:cNvSpPr>
          <a:spLocks noChangeShapeType="1"/>
        </xdr:cNvSpPr>
      </xdr:nvSpPr>
      <xdr:spPr bwMode="auto">
        <a:xfrm flipV="1">
          <a:off x="880110" y="430530"/>
          <a:ext cx="216027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335280</xdr:colOff>
      <xdr:row>2</xdr:row>
      <xdr:rowOff>0</xdr:rowOff>
    </xdr:from>
    <xdr:to>
      <xdr:col>1</xdr:col>
      <xdr:colOff>1371600</xdr:colOff>
      <xdr:row>2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D6C8E9F3-A87A-4DD8-8274-5E17A22A5251}"/>
            </a:ext>
          </a:extLst>
        </xdr:cNvPr>
        <xdr:cNvSpPr>
          <a:spLocks noChangeShapeType="1"/>
        </xdr:cNvSpPr>
      </xdr:nvSpPr>
      <xdr:spPr bwMode="auto">
        <a:xfrm flipV="1">
          <a:off x="838200" y="434340"/>
          <a:ext cx="1036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topLeftCell="A7" workbookViewId="0">
      <selection activeCell="U19" sqref="U19"/>
    </sheetView>
  </sheetViews>
  <sheetFormatPr defaultColWidth="9" defaultRowHeight="18"/>
  <cols>
    <col min="1" max="1" width="3.125" style="2" customWidth="1"/>
    <col min="2" max="2" width="9" style="2" customWidth="1"/>
    <col min="3" max="3" width="4.25" style="2" customWidth="1"/>
    <col min="4" max="4" width="0.375" style="2" hidden="1" customWidth="1"/>
    <col min="5" max="5" width="7.5" style="2" customWidth="1"/>
    <col min="6" max="6" width="0.125" style="2" customWidth="1"/>
    <col min="7" max="7" width="7.125" style="2" customWidth="1"/>
    <col min="8" max="8" width="5.5" style="2" customWidth="1"/>
    <col min="9" max="9" width="4.5" style="2" customWidth="1"/>
    <col min="10" max="10" width="6.5" style="2" customWidth="1"/>
    <col min="11" max="12" width="5.875" style="2" customWidth="1"/>
    <col min="13" max="13" width="5.75" style="2" customWidth="1"/>
    <col min="14" max="14" width="6.625" style="2" customWidth="1"/>
    <col min="15" max="15" width="7.25" style="2" customWidth="1"/>
    <col min="16" max="16" width="7.125" style="2" customWidth="1"/>
    <col min="17" max="17" width="6.75" style="2" customWidth="1"/>
    <col min="18" max="18" width="6.125" style="2" customWidth="1"/>
    <col min="19" max="19" width="5.25" style="2" customWidth="1"/>
    <col min="20" max="20" width="6.25" style="2" customWidth="1"/>
    <col min="21" max="21" width="6.125" style="2" customWidth="1"/>
    <col min="22" max="22" width="5.875" style="2" customWidth="1"/>
    <col min="23" max="23" width="6.125" style="2" customWidth="1"/>
    <col min="24" max="24" width="6.875" style="2" customWidth="1"/>
    <col min="25" max="25" width="7.625" style="2" customWidth="1"/>
    <col min="26" max="27" width="6.75" style="2" customWidth="1"/>
    <col min="28" max="28" width="4.25" style="2" customWidth="1"/>
    <col min="29" max="29" width="13.625" style="2" customWidth="1"/>
    <col min="30" max="30" width="12.375" style="2" customWidth="1"/>
    <col min="31" max="16384" width="9" style="2"/>
  </cols>
  <sheetData>
    <row r="1" spans="1:32">
      <c r="A1" s="46" t="s">
        <v>51</v>
      </c>
    </row>
    <row r="2" spans="1:32">
      <c r="A2" s="47" t="s">
        <v>7</v>
      </c>
    </row>
    <row r="3" spans="1:32" ht="29.25">
      <c r="C3" s="10"/>
      <c r="D3" s="10"/>
      <c r="F3" s="26" t="s">
        <v>300</v>
      </c>
      <c r="G3" s="10"/>
      <c r="I3" s="23"/>
      <c r="J3" s="23"/>
      <c r="K3" s="23"/>
      <c r="L3" s="23"/>
      <c r="M3" s="23"/>
      <c r="N3" s="23"/>
      <c r="O3" s="23"/>
      <c r="P3" s="24"/>
      <c r="Q3" s="24"/>
      <c r="R3" s="24"/>
      <c r="S3" s="24"/>
      <c r="T3" s="24"/>
      <c r="U3" s="24"/>
      <c r="V3" s="24"/>
      <c r="W3" s="22"/>
      <c r="X3" s="22"/>
      <c r="Y3" s="22"/>
      <c r="Z3" s="22"/>
      <c r="AA3" s="22"/>
    </row>
    <row r="4" spans="1:32" ht="20.25">
      <c r="I4" s="26"/>
      <c r="J4" s="26"/>
      <c r="K4" s="26"/>
      <c r="L4" s="26"/>
      <c r="M4" s="26"/>
      <c r="N4" s="25"/>
      <c r="P4" s="25"/>
      <c r="Q4" s="25"/>
      <c r="R4" s="25"/>
      <c r="S4" s="25"/>
      <c r="T4" s="25"/>
      <c r="U4" s="25"/>
      <c r="V4" s="25"/>
    </row>
    <row r="5" spans="1:32" ht="0.6" customHeight="1"/>
    <row r="6" spans="1:32" s="39" customFormat="1" ht="24.75" customHeight="1">
      <c r="A6" s="196" t="s">
        <v>0</v>
      </c>
      <c r="B6" s="196" t="s">
        <v>29</v>
      </c>
      <c r="C6" s="195" t="s">
        <v>30</v>
      </c>
      <c r="D6" s="197" t="s">
        <v>6</v>
      </c>
      <c r="E6" s="197" t="s">
        <v>35</v>
      </c>
      <c r="F6" s="199" t="s">
        <v>38</v>
      </c>
      <c r="G6" s="199"/>
      <c r="H6" s="199"/>
      <c r="I6" s="199"/>
      <c r="J6" s="199"/>
      <c r="K6" s="199"/>
      <c r="L6" s="199"/>
      <c r="M6" s="199"/>
      <c r="N6" s="199"/>
      <c r="O6" s="197" t="s">
        <v>23</v>
      </c>
      <c r="P6" s="200" t="s">
        <v>9</v>
      </c>
      <c r="Q6" s="201"/>
      <c r="R6" s="201"/>
      <c r="S6" s="201"/>
      <c r="T6" s="201"/>
      <c r="U6" s="201"/>
      <c r="V6" s="201"/>
      <c r="W6" s="201"/>
      <c r="X6" s="201"/>
      <c r="Y6" s="199" t="s">
        <v>26</v>
      </c>
      <c r="Z6" s="199" t="s">
        <v>8</v>
      </c>
      <c r="AA6" s="197" t="s">
        <v>27</v>
      </c>
      <c r="AB6" s="195" t="s">
        <v>34</v>
      </c>
    </row>
    <row r="7" spans="1:32" s="39" customFormat="1" ht="92.25" customHeight="1">
      <c r="A7" s="196"/>
      <c r="B7" s="196"/>
      <c r="C7" s="196"/>
      <c r="D7" s="198"/>
      <c r="E7" s="198"/>
      <c r="F7" s="70" t="s">
        <v>39</v>
      </c>
      <c r="G7" s="38" t="s">
        <v>31</v>
      </c>
      <c r="H7" s="38" t="s">
        <v>32</v>
      </c>
      <c r="I7" s="38" t="s">
        <v>33</v>
      </c>
      <c r="J7" s="194" t="s">
        <v>172</v>
      </c>
      <c r="K7" s="194" t="s">
        <v>299</v>
      </c>
      <c r="L7" s="194" t="s">
        <v>295</v>
      </c>
      <c r="M7" s="194" t="s">
        <v>53</v>
      </c>
      <c r="N7" s="194" t="s">
        <v>41</v>
      </c>
      <c r="O7" s="198"/>
      <c r="P7" s="41" t="s">
        <v>24</v>
      </c>
      <c r="Q7" s="27" t="s">
        <v>55</v>
      </c>
      <c r="R7" s="27" t="s">
        <v>174</v>
      </c>
      <c r="S7" s="27" t="s">
        <v>294</v>
      </c>
      <c r="T7" s="27" t="s">
        <v>301</v>
      </c>
      <c r="U7" s="27" t="s">
        <v>296</v>
      </c>
      <c r="V7" s="38" t="s">
        <v>57</v>
      </c>
      <c r="W7" s="38" t="s">
        <v>167</v>
      </c>
      <c r="X7" s="41" t="s">
        <v>173</v>
      </c>
      <c r="Y7" s="199"/>
      <c r="Z7" s="199"/>
      <c r="AA7" s="198"/>
      <c r="AB7" s="195"/>
    </row>
    <row r="8" spans="1:32" s="184" customFormat="1" ht="24" customHeight="1">
      <c r="A8" s="182">
        <v>1</v>
      </c>
      <c r="B8" s="183">
        <v>2</v>
      </c>
      <c r="C8" s="182">
        <v>3</v>
      </c>
      <c r="D8" s="183">
        <v>4</v>
      </c>
      <c r="E8" s="182" t="s">
        <v>297</v>
      </c>
      <c r="F8" s="183">
        <v>6</v>
      </c>
      <c r="G8" s="182">
        <v>7</v>
      </c>
      <c r="H8" s="183">
        <v>8</v>
      </c>
      <c r="I8" s="182">
        <v>9</v>
      </c>
      <c r="J8" s="183">
        <v>10</v>
      </c>
      <c r="K8" s="182">
        <v>11</v>
      </c>
      <c r="L8" s="183">
        <v>12</v>
      </c>
      <c r="M8" s="182">
        <v>13</v>
      </c>
      <c r="N8" s="183">
        <v>14</v>
      </c>
      <c r="O8" s="182" t="s">
        <v>298</v>
      </c>
      <c r="P8" s="183">
        <v>16</v>
      </c>
      <c r="Q8" s="182">
        <v>17</v>
      </c>
      <c r="R8" s="183">
        <v>18</v>
      </c>
      <c r="S8" s="182">
        <v>19</v>
      </c>
      <c r="T8" s="183">
        <v>20</v>
      </c>
      <c r="U8" s="182">
        <v>21</v>
      </c>
      <c r="V8" s="183">
        <v>22</v>
      </c>
      <c r="W8" s="182">
        <v>23</v>
      </c>
      <c r="X8" s="183">
        <v>24</v>
      </c>
      <c r="Y8" s="182" t="s">
        <v>302</v>
      </c>
      <c r="Z8" s="183" t="s">
        <v>303</v>
      </c>
      <c r="AA8" s="182" t="s">
        <v>304</v>
      </c>
      <c r="AB8" s="183">
        <v>28</v>
      </c>
    </row>
    <row r="9" spans="1:32" ht="21.75" customHeight="1">
      <c r="A9" s="185">
        <v>1</v>
      </c>
      <c r="B9" s="14" t="s">
        <v>11</v>
      </c>
      <c r="C9" s="186">
        <v>690</v>
      </c>
      <c r="D9" s="186">
        <f>'TYT xã _2020_Quý IV (4)'!D9+'TYT xã _2020_Quý III (3)'!D9+'TYT xã _2020_Quý II (2)'!D9+'TYT xã _2020_Quý I'!D9</f>
        <v>0</v>
      </c>
      <c r="E9" s="187">
        <f>SUM(F9:N9)</f>
        <v>69482285</v>
      </c>
      <c r="F9" s="188">
        <v>0</v>
      </c>
      <c r="G9" s="188">
        <v>46540885</v>
      </c>
      <c r="H9" s="188">
        <v>0</v>
      </c>
      <c r="I9" s="188">
        <v>0</v>
      </c>
      <c r="J9" s="188">
        <v>2358400</v>
      </c>
      <c r="K9" s="188">
        <f>30*53600</f>
        <v>1608000</v>
      </c>
      <c r="L9" s="188"/>
      <c r="M9" s="188">
        <v>0</v>
      </c>
      <c r="N9" s="188">
        <v>18975000</v>
      </c>
      <c r="O9" s="187">
        <f t="shared" ref="O9:O20" si="0">SUM(P9:X9)</f>
        <v>70991385</v>
      </c>
      <c r="P9" s="188">
        <v>46540885</v>
      </c>
      <c r="Q9" s="188">
        <v>14145000</v>
      </c>
      <c r="R9" s="188">
        <v>4700000</v>
      </c>
      <c r="S9" s="188"/>
      <c r="T9" s="188">
        <v>2000000</v>
      </c>
      <c r="U9" s="188"/>
      <c r="V9" s="188">
        <v>283000</v>
      </c>
      <c r="W9" s="188">
        <v>176000</v>
      </c>
      <c r="X9" s="189">
        <f>2189500+(30*31900)</f>
        <v>3146500</v>
      </c>
      <c r="Y9" s="187">
        <f t="shared" ref="Y9:Y20" si="1">E9-O9</f>
        <v>-1509100</v>
      </c>
      <c r="Z9" s="187">
        <f>Y9*35%</f>
        <v>-528185</v>
      </c>
      <c r="AA9" s="187">
        <f>Y9-Z9</f>
        <v>-980915</v>
      </c>
      <c r="AB9" s="190"/>
      <c r="AC9" s="42">
        <f>J9/53600</f>
        <v>44</v>
      </c>
      <c r="AD9" s="2">
        <v>44</v>
      </c>
      <c r="AF9" s="42">
        <f>K9/53600</f>
        <v>30</v>
      </c>
    </row>
    <row r="10" spans="1:32" ht="21.75" customHeight="1">
      <c r="A10" s="185">
        <v>2</v>
      </c>
      <c r="B10" s="14" t="s">
        <v>12</v>
      </c>
      <c r="C10" s="186">
        <v>2332</v>
      </c>
      <c r="D10" s="186">
        <f>'TYT xã _2020_Quý IV (4)'!D10+'TYT xã _2020_Quý III (3)'!D10+'TYT xã _2020_Quý II (2)'!D10+'TYT xã _2020_Quý I'!D10</f>
        <v>0</v>
      </c>
      <c r="E10" s="187">
        <f t="shared" ref="E10:E20" si="2">SUM(F10:N10)</f>
        <v>183627960</v>
      </c>
      <c r="F10" s="188">
        <v>0</v>
      </c>
      <c r="G10" s="188">
        <v>115685560</v>
      </c>
      <c r="H10" s="188">
        <v>674100</v>
      </c>
      <c r="I10" s="188">
        <v>0</v>
      </c>
      <c r="J10" s="188">
        <v>2036800</v>
      </c>
      <c r="K10" s="188">
        <f>20*53600</f>
        <v>1072000</v>
      </c>
      <c r="L10" s="188"/>
      <c r="M10" s="188">
        <v>112000</v>
      </c>
      <c r="N10" s="188">
        <v>64047500</v>
      </c>
      <c r="O10" s="187">
        <f t="shared" si="0"/>
        <v>178691190</v>
      </c>
      <c r="P10" s="188">
        <v>115685560</v>
      </c>
      <c r="Q10" s="188">
        <v>47925700</v>
      </c>
      <c r="R10" s="188">
        <v>6000000</v>
      </c>
      <c r="S10" s="188"/>
      <c r="T10" s="188">
        <v>2000000</v>
      </c>
      <c r="U10" s="188"/>
      <c r="V10" s="188">
        <v>413700</v>
      </c>
      <c r="W10" s="188">
        <v>1405880</v>
      </c>
      <c r="X10" s="189">
        <f>4622350+(20*31900)</f>
        <v>5260350</v>
      </c>
      <c r="Y10" s="187">
        <f t="shared" si="1"/>
        <v>4936770</v>
      </c>
      <c r="Z10" s="187">
        <f t="shared" ref="Z10:Z20" si="3">Y10*35%</f>
        <v>1727869.5</v>
      </c>
      <c r="AA10" s="187">
        <f t="shared" ref="AA10:AA20" si="4">Y10-Z10</f>
        <v>3208900.5</v>
      </c>
      <c r="AB10" s="190"/>
      <c r="AC10" s="42">
        <f t="shared" ref="AC10:AC20" si="5">J10/53600</f>
        <v>38</v>
      </c>
      <c r="AD10" s="12">
        <v>38</v>
      </c>
      <c r="AF10" s="42">
        <f t="shared" ref="AF10:AF20" si="6">K10/53600</f>
        <v>20</v>
      </c>
    </row>
    <row r="11" spans="1:32" ht="21.75" customHeight="1">
      <c r="A11" s="185">
        <v>3</v>
      </c>
      <c r="B11" s="14" t="s">
        <v>13</v>
      </c>
      <c r="C11" s="186">
        <v>2122</v>
      </c>
      <c r="D11" s="186">
        <f>'TYT xã _2020_Quý IV (4)'!D11+'TYT xã _2020_Quý III (3)'!D11+'TYT xã _2020_Quý II (2)'!D11+'TYT xã _2020_Quý I'!D11</f>
        <v>0</v>
      </c>
      <c r="E11" s="187">
        <f t="shared" si="2"/>
        <v>187446376</v>
      </c>
      <c r="F11" s="188">
        <v>0</v>
      </c>
      <c r="G11" s="188">
        <v>126822776</v>
      </c>
      <c r="H11" s="188">
        <v>124600</v>
      </c>
      <c r="I11" s="188">
        <v>0</v>
      </c>
      <c r="J11" s="188">
        <v>1072000</v>
      </c>
      <c r="K11" s="188">
        <f>20*53600</f>
        <v>1072000</v>
      </c>
      <c r="L11" s="188"/>
      <c r="M11" s="188">
        <v>0</v>
      </c>
      <c r="N11" s="188">
        <v>58355000</v>
      </c>
      <c r="O11" s="187">
        <f t="shared" si="0"/>
        <v>182015423</v>
      </c>
      <c r="P11" s="188">
        <v>126822776</v>
      </c>
      <c r="Q11" s="188">
        <v>43520600</v>
      </c>
      <c r="R11" s="188">
        <v>4000000</v>
      </c>
      <c r="S11" s="188"/>
      <c r="T11" s="188">
        <v>2000000</v>
      </c>
      <c r="U11" s="188"/>
      <c r="V11" s="188">
        <v>389300</v>
      </c>
      <c r="W11" s="188">
        <v>2203597</v>
      </c>
      <c r="X11" s="189">
        <f>2441150+(20*31900)</f>
        <v>3079150</v>
      </c>
      <c r="Y11" s="187">
        <f t="shared" si="1"/>
        <v>5430953</v>
      </c>
      <c r="Z11" s="187">
        <f t="shared" si="3"/>
        <v>1900833.5499999998</v>
      </c>
      <c r="AA11" s="187">
        <f t="shared" si="4"/>
        <v>3530119.45</v>
      </c>
      <c r="AB11" s="190"/>
      <c r="AC11" s="42">
        <f t="shared" si="5"/>
        <v>20</v>
      </c>
      <c r="AD11" s="12">
        <v>20</v>
      </c>
      <c r="AF11" s="42">
        <f t="shared" si="6"/>
        <v>20</v>
      </c>
    </row>
    <row r="12" spans="1:32" ht="21.75" customHeight="1">
      <c r="A12" s="185">
        <v>4</v>
      </c>
      <c r="B12" s="14" t="s">
        <v>14</v>
      </c>
      <c r="C12" s="186">
        <v>2102</v>
      </c>
      <c r="D12" s="186">
        <f>'TYT xã _2020_Quý IV (4)'!D12+'TYT xã _2020_Quý III (3)'!D12+'TYT xã _2020_Quý II (2)'!D12+'TYT xã _2020_Quý I'!D12</f>
        <v>0</v>
      </c>
      <c r="E12" s="187">
        <f t="shared" si="2"/>
        <v>205908150</v>
      </c>
      <c r="F12" s="188">
        <v>0</v>
      </c>
      <c r="G12" s="188">
        <v>133503150</v>
      </c>
      <c r="H12" s="188">
        <v>1550500</v>
      </c>
      <c r="I12" s="188">
        <v>0</v>
      </c>
      <c r="J12" s="188">
        <v>3537600</v>
      </c>
      <c r="K12" s="188">
        <f>179*53600</f>
        <v>9594400</v>
      </c>
      <c r="L12" s="188"/>
      <c r="M12" s="188">
        <v>0</v>
      </c>
      <c r="N12" s="188">
        <v>57722500</v>
      </c>
      <c r="O12" s="187">
        <f t="shared" si="0"/>
        <v>196773640</v>
      </c>
      <c r="P12" s="188">
        <v>133503150</v>
      </c>
      <c r="Q12" s="188">
        <v>43285000</v>
      </c>
      <c r="R12" s="188">
        <v>5700000</v>
      </c>
      <c r="S12" s="188"/>
      <c r="T12" s="188">
        <v>2000000</v>
      </c>
      <c r="U12" s="188"/>
      <c r="V12" s="188">
        <v>254620</v>
      </c>
      <c r="W12" s="188">
        <v>2295960</v>
      </c>
      <c r="X12" s="189">
        <f>4024810+(179*31900)</f>
        <v>9734910</v>
      </c>
      <c r="Y12" s="187">
        <f t="shared" si="1"/>
        <v>9134510</v>
      </c>
      <c r="Z12" s="187">
        <f t="shared" si="3"/>
        <v>3197078.5</v>
      </c>
      <c r="AA12" s="187">
        <f t="shared" si="4"/>
        <v>5937431.5</v>
      </c>
      <c r="AB12" s="190"/>
      <c r="AC12" s="42">
        <f t="shared" si="5"/>
        <v>66</v>
      </c>
      <c r="AD12" s="12">
        <v>60</v>
      </c>
      <c r="AE12" s="2">
        <v>30</v>
      </c>
      <c r="AF12" s="42">
        <f t="shared" si="6"/>
        <v>179</v>
      </c>
    </row>
    <row r="13" spans="1:32" ht="21.75" customHeight="1">
      <c r="A13" s="185">
        <v>5</v>
      </c>
      <c r="B13" s="14" t="s">
        <v>15</v>
      </c>
      <c r="C13" s="186">
        <v>2220</v>
      </c>
      <c r="D13" s="186">
        <f>'TYT xã _2020_Quý IV (4)'!D13+'TYT xã _2020_Quý III (3)'!D13+'TYT xã _2020_Quý II (2)'!D13+'TYT xã _2020_Quý I'!D13</f>
        <v>0</v>
      </c>
      <c r="E13" s="187">
        <f t="shared" si="2"/>
        <v>203680217</v>
      </c>
      <c r="F13" s="188">
        <v>0</v>
      </c>
      <c r="G13" s="188">
        <v>140832317</v>
      </c>
      <c r="H13" s="188">
        <v>494200</v>
      </c>
      <c r="I13" s="188">
        <v>0</v>
      </c>
      <c r="J13" s="188">
        <v>857600</v>
      </c>
      <c r="K13" s="188">
        <f>16*53600</f>
        <v>857600</v>
      </c>
      <c r="L13" s="188"/>
      <c r="M13" s="188">
        <v>56000</v>
      </c>
      <c r="N13" s="188">
        <v>60582500</v>
      </c>
      <c r="O13" s="187">
        <f t="shared" si="0"/>
        <v>197024967</v>
      </c>
      <c r="P13" s="188">
        <v>140832317</v>
      </c>
      <c r="Q13" s="188">
        <v>45280800</v>
      </c>
      <c r="R13" s="188">
        <v>3700000</v>
      </c>
      <c r="S13" s="188"/>
      <c r="T13" s="188">
        <v>2000000</v>
      </c>
      <c r="U13" s="188"/>
      <c r="V13" s="188">
        <v>436600</v>
      </c>
      <c r="W13" s="188">
        <v>2718850</v>
      </c>
      <c r="X13" s="189">
        <f>1546000+(16*31900)</f>
        <v>2056400</v>
      </c>
      <c r="Y13" s="187">
        <f t="shared" si="1"/>
        <v>6655250</v>
      </c>
      <c r="Z13" s="187">
        <f t="shared" si="3"/>
        <v>2329337.5</v>
      </c>
      <c r="AA13" s="187">
        <f t="shared" si="4"/>
        <v>4325912.5</v>
      </c>
      <c r="AB13" s="190"/>
      <c r="AC13" s="42">
        <f t="shared" si="5"/>
        <v>16</v>
      </c>
      <c r="AD13" s="12">
        <v>16</v>
      </c>
      <c r="AF13" s="42">
        <f t="shared" si="6"/>
        <v>16</v>
      </c>
    </row>
    <row r="14" spans="1:32" ht="21.75" customHeight="1">
      <c r="A14" s="185">
        <v>6</v>
      </c>
      <c r="B14" s="14" t="s">
        <v>16</v>
      </c>
      <c r="C14" s="186">
        <v>2424</v>
      </c>
      <c r="D14" s="186">
        <f>'TYT xã _2020_Quý IV (4)'!D14+'TYT xã _2020_Quý III (3)'!D14+'TYT xã _2020_Quý II (2)'!D14+'TYT xã _2020_Quý I'!D14</f>
        <v>0</v>
      </c>
      <c r="E14" s="187">
        <f t="shared" si="2"/>
        <v>249686434</v>
      </c>
      <c r="F14" s="188">
        <v>0</v>
      </c>
      <c r="G14" s="188">
        <v>128945196</v>
      </c>
      <c r="H14" s="188">
        <v>1362200</v>
      </c>
      <c r="I14" s="188">
        <v>240938</v>
      </c>
      <c r="J14" s="188">
        <v>4609600</v>
      </c>
      <c r="K14" s="188">
        <f>(215)*53600</f>
        <v>11524000</v>
      </c>
      <c r="L14" s="188">
        <v>34120000</v>
      </c>
      <c r="M14" s="188">
        <v>2912000</v>
      </c>
      <c r="N14" s="188">
        <v>65972500</v>
      </c>
      <c r="O14" s="187">
        <f t="shared" si="0"/>
        <v>239199206</v>
      </c>
      <c r="P14" s="188">
        <v>128945196</v>
      </c>
      <c r="Q14" s="188">
        <v>50576900</v>
      </c>
      <c r="R14" s="188">
        <v>5000000</v>
      </c>
      <c r="S14" s="188">
        <v>3000000</v>
      </c>
      <c r="T14" s="188">
        <v>2000000</v>
      </c>
      <c r="U14" s="188">
        <v>34120000</v>
      </c>
      <c r="V14" s="188">
        <v>1992100</v>
      </c>
      <c r="W14" s="188">
        <v>1351600</v>
      </c>
      <c r="X14" s="189">
        <f>5354910+(215*31900)</f>
        <v>12213410</v>
      </c>
      <c r="Y14" s="187">
        <f t="shared" si="1"/>
        <v>10487228</v>
      </c>
      <c r="Z14" s="187">
        <f t="shared" si="3"/>
        <v>3670529.8</v>
      </c>
      <c r="AA14" s="187">
        <f t="shared" si="4"/>
        <v>6816698.2000000002</v>
      </c>
      <c r="AB14" s="190"/>
      <c r="AC14" s="42">
        <f t="shared" si="5"/>
        <v>86</v>
      </c>
      <c r="AD14" s="12">
        <v>80</v>
      </c>
      <c r="AF14" s="42">
        <f t="shared" si="6"/>
        <v>215</v>
      </c>
    </row>
    <row r="15" spans="1:32" ht="21.75" customHeight="1">
      <c r="A15" s="185">
        <v>7</v>
      </c>
      <c r="B15" s="14" t="s">
        <v>17</v>
      </c>
      <c r="C15" s="186">
        <v>2581</v>
      </c>
      <c r="D15" s="186">
        <f>'TYT xã _2020_Quý IV (4)'!D15+'TYT xã _2020_Quý III (3)'!D15+'TYT xã _2020_Quý II (2)'!D15+'TYT xã _2020_Quý I'!D15</f>
        <v>0</v>
      </c>
      <c r="E15" s="187">
        <f t="shared" si="2"/>
        <v>261685680</v>
      </c>
      <c r="F15" s="188">
        <v>0</v>
      </c>
      <c r="G15" s="188">
        <v>187574680</v>
      </c>
      <c r="H15" s="188">
        <v>0</v>
      </c>
      <c r="I15" s="188">
        <v>0</v>
      </c>
      <c r="J15" s="188">
        <v>1608000</v>
      </c>
      <c r="K15" s="188">
        <f>30*53600</f>
        <v>1608000</v>
      </c>
      <c r="L15" s="188"/>
      <c r="M15" s="188">
        <v>0</v>
      </c>
      <c r="N15" s="188">
        <v>70895000</v>
      </c>
      <c r="O15" s="187">
        <f t="shared" si="0"/>
        <v>253833430</v>
      </c>
      <c r="P15" s="188">
        <v>187574680</v>
      </c>
      <c r="Q15" s="188">
        <v>52849000</v>
      </c>
      <c r="R15" s="188">
        <v>6000000</v>
      </c>
      <c r="S15" s="188"/>
      <c r="T15" s="188">
        <v>2000000</v>
      </c>
      <c r="U15" s="188"/>
      <c r="V15" s="188">
        <v>192600</v>
      </c>
      <c r="W15" s="188">
        <v>1424250</v>
      </c>
      <c r="X15" s="189">
        <f>2835900+(30*31900)</f>
        <v>3792900</v>
      </c>
      <c r="Y15" s="187">
        <f t="shared" si="1"/>
        <v>7852250</v>
      </c>
      <c r="Z15" s="187">
        <f t="shared" si="3"/>
        <v>2748287.5</v>
      </c>
      <c r="AA15" s="187">
        <f t="shared" si="4"/>
        <v>5103962.5</v>
      </c>
      <c r="AB15" s="190"/>
      <c r="AC15" s="42">
        <f t="shared" si="5"/>
        <v>30</v>
      </c>
      <c r="AD15" s="12">
        <v>30</v>
      </c>
      <c r="AF15" s="42">
        <f t="shared" si="6"/>
        <v>30</v>
      </c>
    </row>
    <row r="16" spans="1:32" ht="21.75" customHeight="1">
      <c r="A16" s="185">
        <v>8</v>
      </c>
      <c r="B16" s="14" t="s">
        <v>18</v>
      </c>
      <c r="C16" s="186">
        <v>1715</v>
      </c>
      <c r="D16" s="186">
        <f>'TYT xã _2020_Quý IV (4)'!D16+'TYT xã _2020_Quý III (3)'!D16+'TYT xã _2020_Quý II (2)'!D16+'TYT xã _2020_Quý I'!D16</f>
        <v>0</v>
      </c>
      <c r="E16" s="187">
        <f t="shared" si="2"/>
        <v>139170351</v>
      </c>
      <c r="F16" s="188">
        <v>0</v>
      </c>
      <c r="G16" s="188">
        <v>87266713</v>
      </c>
      <c r="H16" s="188">
        <v>1976800</v>
      </c>
      <c r="I16" s="188">
        <v>13338</v>
      </c>
      <c r="J16" s="188">
        <v>1340000</v>
      </c>
      <c r="K16" s="188">
        <f>20*53600</f>
        <v>1072000</v>
      </c>
      <c r="L16" s="188"/>
      <c r="M16" s="188">
        <v>504000</v>
      </c>
      <c r="N16" s="188">
        <v>46997500</v>
      </c>
      <c r="O16" s="187">
        <f t="shared" si="0"/>
        <v>134265183</v>
      </c>
      <c r="P16" s="188">
        <v>87266713</v>
      </c>
      <c r="Q16" s="188">
        <v>35621700</v>
      </c>
      <c r="R16" s="188">
        <v>5400000</v>
      </c>
      <c r="S16" s="188"/>
      <c r="T16" s="188">
        <v>2000000</v>
      </c>
      <c r="U16" s="188"/>
      <c r="V16" s="188">
        <v>323400</v>
      </c>
      <c r="W16" s="188">
        <v>1209870</v>
      </c>
      <c r="X16" s="189">
        <f>1805500+(20*31900)</f>
        <v>2443500</v>
      </c>
      <c r="Y16" s="187">
        <f t="shared" si="1"/>
        <v>4905168</v>
      </c>
      <c r="Z16" s="187">
        <f t="shared" si="3"/>
        <v>1716808.7999999998</v>
      </c>
      <c r="AA16" s="187">
        <f t="shared" si="4"/>
        <v>3188359.2</v>
      </c>
      <c r="AB16" s="190"/>
      <c r="AC16" s="42">
        <f t="shared" si="5"/>
        <v>25</v>
      </c>
      <c r="AD16" s="12">
        <v>25</v>
      </c>
      <c r="AF16" s="42">
        <f t="shared" si="6"/>
        <v>20</v>
      </c>
    </row>
    <row r="17" spans="1:32" ht="21.75" customHeight="1">
      <c r="A17" s="185">
        <v>9</v>
      </c>
      <c r="B17" s="14" t="s">
        <v>19</v>
      </c>
      <c r="C17" s="186">
        <v>2996</v>
      </c>
      <c r="D17" s="186">
        <f>'TYT xã _2020_Quý IV (4)'!D17+'TYT xã _2020_Quý III (3)'!D17+'TYT xã _2020_Quý II (2)'!D17+'TYT xã _2020_Quý I'!D17</f>
        <v>0</v>
      </c>
      <c r="E17" s="187">
        <f t="shared" si="2"/>
        <v>246892418</v>
      </c>
      <c r="F17" s="188">
        <v>0</v>
      </c>
      <c r="G17" s="188">
        <v>160291418</v>
      </c>
      <c r="H17" s="188">
        <v>618800</v>
      </c>
      <c r="I17" s="188">
        <v>0</v>
      </c>
      <c r="J17" s="188">
        <v>1983200</v>
      </c>
      <c r="K17" s="188">
        <f>30*53600</f>
        <v>1608000</v>
      </c>
      <c r="L17" s="188"/>
      <c r="M17" s="188">
        <v>56000</v>
      </c>
      <c r="N17" s="188">
        <v>82335000</v>
      </c>
      <c r="O17" s="187">
        <f t="shared" si="0"/>
        <v>242211170</v>
      </c>
      <c r="P17" s="188">
        <v>160291418</v>
      </c>
      <c r="Q17" s="188">
        <v>61515900</v>
      </c>
      <c r="R17" s="188">
        <v>6000000</v>
      </c>
      <c r="S17" s="188"/>
      <c r="T17" s="188">
        <v>2000000</v>
      </c>
      <c r="U17" s="188"/>
      <c r="V17" s="188">
        <v>2810300</v>
      </c>
      <c r="W17" s="188">
        <v>5185602</v>
      </c>
      <c r="X17" s="189">
        <f>3450950+(30*31900)</f>
        <v>4407950</v>
      </c>
      <c r="Y17" s="187">
        <f t="shared" si="1"/>
        <v>4681248</v>
      </c>
      <c r="Z17" s="187">
        <f t="shared" si="3"/>
        <v>1638436.7999999998</v>
      </c>
      <c r="AA17" s="187">
        <f t="shared" si="4"/>
        <v>3042811.2</v>
      </c>
      <c r="AB17" s="190"/>
      <c r="AC17" s="42">
        <f t="shared" si="5"/>
        <v>37</v>
      </c>
      <c r="AD17" s="12">
        <v>37</v>
      </c>
      <c r="AF17" s="42">
        <f t="shared" si="6"/>
        <v>30</v>
      </c>
    </row>
    <row r="18" spans="1:32" ht="21.75" customHeight="1">
      <c r="A18" s="185">
        <v>10</v>
      </c>
      <c r="B18" s="14" t="s">
        <v>20</v>
      </c>
      <c r="C18" s="186">
        <v>2463</v>
      </c>
      <c r="D18" s="186">
        <f>'TYT xã _2020_Quý IV (4)'!D18+'TYT xã _2020_Quý III (3)'!D18+'TYT xã _2020_Quý II (2)'!D18+'TYT xã _2020_Quý I'!D18</f>
        <v>0</v>
      </c>
      <c r="E18" s="187">
        <f t="shared" si="2"/>
        <v>266394569</v>
      </c>
      <c r="F18" s="188">
        <v>0</v>
      </c>
      <c r="G18" s="188">
        <v>139843369</v>
      </c>
      <c r="H18" s="188">
        <v>0</v>
      </c>
      <c r="I18" s="188">
        <v>0</v>
      </c>
      <c r="J18" s="188">
        <v>3805600</v>
      </c>
      <c r="K18" s="188">
        <f>46*53600</f>
        <v>2465600</v>
      </c>
      <c r="L18" s="188">
        <v>52575000</v>
      </c>
      <c r="M18" s="188">
        <v>0</v>
      </c>
      <c r="N18" s="188">
        <v>67705000</v>
      </c>
      <c r="O18" s="187">
        <f t="shared" si="0"/>
        <v>223255589</v>
      </c>
      <c r="P18" s="188">
        <v>139843369</v>
      </c>
      <c r="Q18" s="188">
        <v>50471000</v>
      </c>
      <c r="R18" s="188">
        <v>6000000</v>
      </c>
      <c r="S18" s="188">
        <v>3000000</v>
      </c>
      <c r="T18" s="188">
        <v>2000000</v>
      </c>
      <c r="U18" s="188">
        <v>10833000</v>
      </c>
      <c r="V18" s="188">
        <v>2021600</v>
      </c>
      <c r="W18" s="188">
        <v>4285720</v>
      </c>
      <c r="X18" s="189">
        <f>3333500+(46*31900)</f>
        <v>4800900</v>
      </c>
      <c r="Y18" s="187">
        <f t="shared" si="1"/>
        <v>43138980</v>
      </c>
      <c r="Z18" s="187">
        <f t="shared" si="3"/>
        <v>15098642.999999998</v>
      </c>
      <c r="AA18" s="187">
        <f t="shared" si="4"/>
        <v>28040337</v>
      </c>
      <c r="AB18" s="190"/>
      <c r="AC18" s="42">
        <f t="shared" si="5"/>
        <v>71</v>
      </c>
      <c r="AD18" s="12">
        <v>71</v>
      </c>
      <c r="AF18" s="42">
        <f t="shared" si="6"/>
        <v>46</v>
      </c>
    </row>
    <row r="19" spans="1:32" ht="21" customHeight="1">
      <c r="A19" s="185">
        <v>11</v>
      </c>
      <c r="B19" s="14" t="s">
        <v>21</v>
      </c>
      <c r="C19" s="186">
        <v>1500</v>
      </c>
      <c r="D19" s="186">
        <f>'TYT xã _2020_Quý IV (4)'!D19+'TYT xã _2020_Quý III (3)'!D19+'TYT xã _2020_Quý II (2)'!D19+'TYT xã _2020_Quý I'!D19</f>
        <v>0</v>
      </c>
      <c r="E19" s="187">
        <f t="shared" si="2"/>
        <v>122920254</v>
      </c>
      <c r="F19" s="188">
        <v>0</v>
      </c>
      <c r="G19" s="188">
        <v>80383854</v>
      </c>
      <c r="H19" s="188">
        <v>0</v>
      </c>
      <c r="I19" s="188">
        <v>0</v>
      </c>
      <c r="J19" s="188">
        <v>857600</v>
      </c>
      <c r="K19" s="188">
        <f>8*53600</f>
        <v>428800</v>
      </c>
      <c r="L19" s="188"/>
      <c r="M19" s="188">
        <v>0</v>
      </c>
      <c r="N19" s="188">
        <v>41250000</v>
      </c>
      <c r="O19" s="187">
        <f t="shared" si="0"/>
        <v>124126215</v>
      </c>
      <c r="P19" s="188">
        <v>80383854</v>
      </c>
      <c r="Q19" s="188">
        <v>30750000</v>
      </c>
      <c r="R19" s="188">
        <v>5000000</v>
      </c>
      <c r="S19" s="188"/>
      <c r="T19" s="188">
        <v>2000000</v>
      </c>
      <c r="U19" s="188"/>
      <c r="V19" s="188">
        <v>655860</v>
      </c>
      <c r="W19" s="188">
        <v>3535051</v>
      </c>
      <c r="X19" s="189">
        <f>1546250+(8*31900)</f>
        <v>1801450</v>
      </c>
      <c r="Y19" s="187">
        <f t="shared" si="1"/>
        <v>-1205961</v>
      </c>
      <c r="Z19" s="187">
        <f t="shared" si="3"/>
        <v>-422086.35</v>
      </c>
      <c r="AA19" s="187">
        <f t="shared" si="4"/>
        <v>-783874.65</v>
      </c>
      <c r="AB19" s="190"/>
      <c r="AC19" s="42">
        <f t="shared" si="5"/>
        <v>16</v>
      </c>
      <c r="AD19" s="12">
        <v>16</v>
      </c>
      <c r="AF19" s="42">
        <f t="shared" si="6"/>
        <v>8</v>
      </c>
    </row>
    <row r="20" spans="1:32" ht="21.75" customHeight="1">
      <c r="A20" s="185">
        <v>12</v>
      </c>
      <c r="B20" s="14" t="s">
        <v>22</v>
      </c>
      <c r="C20" s="186">
        <v>1439</v>
      </c>
      <c r="D20" s="186">
        <f>'TYT xã _2020_Quý IV (4)'!D20+'TYT xã _2020_Quý III (3)'!D20+'TYT xã _2020_Quý II (2)'!D20+'TYT xã _2020_Quý I'!D20</f>
        <v>0</v>
      </c>
      <c r="E20" s="187">
        <f t="shared" si="2"/>
        <v>120101138</v>
      </c>
      <c r="F20" s="188">
        <v>0</v>
      </c>
      <c r="G20" s="188">
        <v>75544838</v>
      </c>
      <c r="H20" s="188">
        <v>2912700</v>
      </c>
      <c r="I20" s="188">
        <v>0</v>
      </c>
      <c r="J20" s="188">
        <v>857600</v>
      </c>
      <c r="K20" s="188">
        <f>20*53600</f>
        <v>1072000</v>
      </c>
      <c r="L20" s="188"/>
      <c r="M20" s="188">
        <v>224000</v>
      </c>
      <c r="N20" s="188">
        <v>39490000</v>
      </c>
      <c r="O20" s="187">
        <f t="shared" si="0"/>
        <v>116810808</v>
      </c>
      <c r="P20" s="188">
        <v>75544838</v>
      </c>
      <c r="Q20" s="188">
        <v>30034900</v>
      </c>
      <c r="R20" s="188">
        <v>5500000</v>
      </c>
      <c r="S20" s="188"/>
      <c r="T20" s="188">
        <v>2000000</v>
      </c>
      <c r="U20" s="188"/>
      <c r="V20" s="188">
        <v>119100</v>
      </c>
      <c r="W20" s="188">
        <v>1778470</v>
      </c>
      <c r="X20" s="189">
        <f>1195500+(20*31900)</f>
        <v>1833500</v>
      </c>
      <c r="Y20" s="187">
        <f t="shared" si="1"/>
        <v>3290330</v>
      </c>
      <c r="Z20" s="187">
        <f t="shared" si="3"/>
        <v>1151615.5</v>
      </c>
      <c r="AA20" s="187">
        <f t="shared" si="4"/>
        <v>2138714.5</v>
      </c>
      <c r="AB20" s="190"/>
      <c r="AC20" s="42">
        <f t="shared" si="5"/>
        <v>16</v>
      </c>
      <c r="AD20" s="12">
        <v>0</v>
      </c>
      <c r="AF20" s="42">
        <f t="shared" si="6"/>
        <v>20</v>
      </c>
    </row>
    <row r="21" spans="1:32" ht="21.75" customHeight="1">
      <c r="A21" s="16"/>
      <c r="B21" s="18" t="s">
        <v>10</v>
      </c>
      <c r="C21" s="191">
        <f>SUM(C9:C20)</f>
        <v>24584</v>
      </c>
      <c r="D21" s="191">
        <f t="shared" ref="D21" si="7">SUM(D9:D20)</f>
        <v>0</v>
      </c>
      <c r="E21" s="192">
        <f>SUM(E9:E20)</f>
        <v>2256995832</v>
      </c>
      <c r="F21" s="192">
        <f t="shared" ref="F21:AA21" si="8">SUM(F9:F20)</f>
        <v>0</v>
      </c>
      <c r="G21" s="192">
        <f t="shared" si="8"/>
        <v>1423234756</v>
      </c>
      <c r="H21" s="192">
        <f t="shared" si="8"/>
        <v>9713900</v>
      </c>
      <c r="I21" s="192">
        <f t="shared" si="8"/>
        <v>254276</v>
      </c>
      <c r="J21" s="192">
        <f t="shared" si="8"/>
        <v>24924000</v>
      </c>
      <c r="K21" s="192">
        <f t="shared" si="8"/>
        <v>33982400</v>
      </c>
      <c r="L21" s="192">
        <f t="shared" si="8"/>
        <v>86695000</v>
      </c>
      <c r="M21" s="192">
        <f t="shared" si="8"/>
        <v>3864000</v>
      </c>
      <c r="N21" s="192">
        <f t="shared" si="8"/>
        <v>674327500</v>
      </c>
      <c r="O21" s="192">
        <f t="shared" si="8"/>
        <v>2159198206</v>
      </c>
      <c r="P21" s="192">
        <f t="shared" si="8"/>
        <v>1423234756</v>
      </c>
      <c r="Q21" s="192">
        <f t="shared" si="8"/>
        <v>505976500</v>
      </c>
      <c r="R21" s="192">
        <f t="shared" si="8"/>
        <v>63000000</v>
      </c>
      <c r="S21" s="192">
        <f t="shared" si="8"/>
        <v>6000000</v>
      </c>
      <c r="T21" s="192">
        <f t="shared" si="8"/>
        <v>24000000</v>
      </c>
      <c r="U21" s="192">
        <f t="shared" si="8"/>
        <v>44953000</v>
      </c>
      <c r="V21" s="192">
        <f t="shared" si="8"/>
        <v>9892180</v>
      </c>
      <c r="W21" s="192">
        <f t="shared" si="8"/>
        <v>27570850</v>
      </c>
      <c r="X21" s="192">
        <f t="shared" si="8"/>
        <v>54570920</v>
      </c>
      <c r="Y21" s="192">
        <f t="shared" si="8"/>
        <v>97797626</v>
      </c>
      <c r="Z21" s="192">
        <f t="shared" si="8"/>
        <v>34229169.100000001</v>
      </c>
      <c r="AA21" s="192">
        <f t="shared" si="8"/>
        <v>63568456.899999999</v>
      </c>
      <c r="AB21" s="193"/>
      <c r="AC21" s="3"/>
    </row>
    <row r="22" spans="1:32" s="19" customFormat="1" ht="28.15" customHeight="1">
      <c r="B22" s="19" t="s">
        <v>169</v>
      </c>
      <c r="N22" s="58"/>
      <c r="W22" s="20"/>
    </row>
    <row r="23" spans="1:32" s="4" customFormat="1" ht="18.75">
      <c r="H23" s="5"/>
      <c r="V23" s="1" t="s">
        <v>65</v>
      </c>
    </row>
    <row r="24" spans="1:32" s="6" customFormat="1" ht="18.75">
      <c r="B24" s="11" t="s">
        <v>1</v>
      </c>
      <c r="D24" s="11" t="s">
        <v>1</v>
      </c>
      <c r="N24" s="11" t="s">
        <v>2</v>
      </c>
      <c r="Q24" s="9"/>
      <c r="R24" s="9"/>
      <c r="S24" s="9"/>
      <c r="T24" s="9"/>
      <c r="U24" s="9"/>
      <c r="V24" s="7"/>
      <c r="W24" s="7"/>
      <c r="X24" s="6" t="s">
        <v>3</v>
      </c>
      <c r="Z24" s="7"/>
    </row>
    <row r="25" spans="1:32">
      <c r="B25" s="21" t="s">
        <v>4</v>
      </c>
      <c r="D25" s="21" t="s">
        <v>4</v>
      </c>
      <c r="N25" s="21" t="s">
        <v>4</v>
      </c>
      <c r="O25" s="21"/>
      <c r="X25" s="8" t="s">
        <v>5</v>
      </c>
      <c r="Y25" s="8"/>
    </row>
    <row r="26" spans="1:32">
      <c r="G26" s="42"/>
    </row>
  </sheetData>
  <mergeCells count="12">
    <mergeCell ref="AB6:AB7"/>
    <mergeCell ref="A6:A7"/>
    <mergeCell ref="B6:B7"/>
    <mergeCell ref="C6:C7"/>
    <mergeCell ref="D6:D7"/>
    <mergeCell ref="E6:E7"/>
    <mergeCell ref="F6:N6"/>
    <mergeCell ref="O6:O7"/>
    <mergeCell ref="P6:X6"/>
    <mergeCell ref="Y6:Y7"/>
    <mergeCell ref="Z6:Z7"/>
    <mergeCell ref="AA6:AA7"/>
  </mergeCells>
  <pageMargins left="0.24" right="0.2" top="0.2" bottom="0.2" header="0.2" footer="0.31496062992125984"/>
  <pageSetup paperSize="9" scale="85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opLeftCell="D18" workbookViewId="0">
      <selection activeCell="V15" sqref="V15:V26"/>
    </sheetView>
  </sheetViews>
  <sheetFormatPr defaultColWidth="8.75" defaultRowHeight="15"/>
  <cols>
    <col min="1" max="1" width="5.75" style="60" customWidth="1"/>
    <col min="2" max="2" width="9.625" style="60" customWidth="1"/>
    <col min="3" max="3" width="5.75" style="60" customWidth="1"/>
    <col min="4" max="4" width="7.25" style="60" customWidth="1"/>
    <col min="5" max="5" width="5.875" style="60" customWidth="1"/>
    <col min="6" max="6" width="6.75" style="60" customWidth="1"/>
    <col min="7" max="7" width="9.875" style="60" customWidth="1"/>
    <col min="8" max="8" width="8.625" style="60" customWidth="1"/>
    <col min="9" max="9" width="8.25" style="60" customWidth="1"/>
    <col min="10" max="10" width="9.5" style="60" customWidth="1"/>
    <col min="11" max="12" width="8.375" style="60" customWidth="1"/>
    <col min="13" max="13" width="8.625" style="60" customWidth="1"/>
    <col min="14" max="14" width="10.25" style="60" customWidth="1"/>
    <col min="15" max="15" width="9" style="60" customWidth="1"/>
    <col min="16" max="16" width="8" style="60" customWidth="1"/>
    <col min="17" max="17" width="9.625" style="60" customWidth="1"/>
    <col min="18" max="18" width="8.875" style="60" customWidth="1"/>
    <col min="19" max="19" width="10.75" style="60" customWidth="1"/>
    <col min="20" max="20" width="12.25" style="60" customWidth="1"/>
    <col min="21" max="21" width="10.25" style="60" customWidth="1"/>
    <col min="22" max="22" width="9.875" style="60" customWidth="1"/>
    <col min="23" max="23" width="7.75" style="60" customWidth="1"/>
    <col min="24" max="24" width="6.25" style="60" customWidth="1"/>
    <col min="25" max="25" width="10.25" style="60" customWidth="1"/>
    <col min="26" max="16384" width="8.75" style="60"/>
  </cols>
  <sheetData>
    <row r="1" spans="1:25" ht="17.25" customHeight="1">
      <c r="A1" s="224" t="s">
        <v>67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5" t="s">
        <v>68</v>
      </c>
      <c r="X1" s="225"/>
      <c r="Y1" s="225"/>
    </row>
    <row r="2" spans="1:25" ht="17.25" customHeight="1">
      <c r="A2" s="224" t="s">
        <v>69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</row>
    <row r="3" spans="1:25" ht="15.75" customHeight="1"/>
    <row r="4" spans="1:25" ht="21" customHeight="1">
      <c r="A4" s="226" t="s">
        <v>70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</row>
    <row r="5" spans="1:25" ht="16.5" customHeight="1">
      <c r="A5" s="227" t="s">
        <v>163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</row>
    <row r="6" spans="1:25" ht="17.25" customHeight="1">
      <c r="A6" s="228" t="s">
        <v>72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</row>
    <row r="7" spans="1:25" ht="26.25" customHeight="1">
      <c r="A7" s="223" t="s">
        <v>73</v>
      </c>
      <c r="B7" s="221" t="s">
        <v>74</v>
      </c>
      <c r="C7" s="221" t="s">
        <v>75</v>
      </c>
      <c r="D7" s="221" t="s">
        <v>76</v>
      </c>
      <c r="E7" s="221"/>
      <c r="F7" s="221" t="s">
        <v>77</v>
      </c>
      <c r="G7" s="221" t="s">
        <v>78</v>
      </c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 t="s">
        <v>79</v>
      </c>
      <c r="T7" s="221" t="s">
        <v>80</v>
      </c>
      <c r="U7" s="221"/>
      <c r="V7" s="221" t="s">
        <v>81</v>
      </c>
      <c r="W7" s="221" t="s">
        <v>82</v>
      </c>
      <c r="X7" s="221"/>
      <c r="Y7" s="221"/>
    </row>
    <row r="8" spans="1:25" ht="27.75" customHeight="1">
      <c r="A8" s="223"/>
      <c r="B8" s="221"/>
      <c r="C8" s="221"/>
      <c r="D8" s="222" t="s">
        <v>83</v>
      </c>
      <c r="E8" s="222" t="s">
        <v>84</v>
      </c>
      <c r="F8" s="221"/>
      <c r="G8" s="222" t="s">
        <v>85</v>
      </c>
      <c r="H8" s="222" t="s">
        <v>86</v>
      </c>
      <c r="I8" s="222"/>
      <c r="J8" s="222"/>
      <c r="K8" s="222"/>
      <c r="L8" s="222"/>
      <c r="M8" s="222"/>
      <c r="N8" s="222" t="s">
        <v>87</v>
      </c>
      <c r="O8" s="222"/>
      <c r="P8" s="222"/>
      <c r="Q8" s="222" t="s">
        <v>41</v>
      </c>
      <c r="R8" s="222" t="s">
        <v>88</v>
      </c>
      <c r="S8" s="221"/>
      <c r="T8" s="222" t="s">
        <v>89</v>
      </c>
      <c r="U8" s="222" t="s">
        <v>90</v>
      </c>
      <c r="V8" s="221"/>
      <c r="W8" s="222" t="s">
        <v>76</v>
      </c>
      <c r="X8" s="222" t="s">
        <v>91</v>
      </c>
      <c r="Y8" s="222" t="s">
        <v>89</v>
      </c>
    </row>
    <row r="9" spans="1:25" ht="28.5" customHeight="1">
      <c r="A9" s="223"/>
      <c r="B9" s="221"/>
      <c r="C9" s="221"/>
      <c r="D9" s="222"/>
      <c r="E9" s="222"/>
      <c r="F9" s="221"/>
      <c r="G9" s="222"/>
      <c r="H9" s="61" t="s">
        <v>92</v>
      </c>
      <c r="I9" s="61" t="s">
        <v>93</v>
      </c>
      <c r="J9" s="61" t="s">
        <v>94</v>
      </c>
      <c r="K9" s="61" t="s">
        <v>95</v>
      </c>
      <c r="L9" s="61" t="s">
        <v>96</v>
      </c>
      <c r="M9" s="61" t="s">
        <v>97</v>
      </c>
      <c r="N9" s="61" t="s">
        <v>98</v>
      </c>
      <c r="O9" s="61" t="s">
        <v>94</v>
      </c>
      <c r="P9" s="61" t="s">
        <v>97</v>
      </c>
      <c r="Q9" s="222"/>
      <c r="R9" s="222"/>
      <c r="S9" s="221"/>
      <c r="T9" s="222"/>
      <c r="U9" s="222"/>
      <c r="V9" s="221"/>
      <c r="W9" s="222"/>
      <c r="X9" s="222"/>
      <c r="Y9" s="222"/>
    </row>
    <row r="10" spans="1:25" ht="21" customHeight="1">
      <c r="A10" s="62" t="s">
        <v>99</v>
      </c>
      <c r="B10" s="61" t="s">
        <v>100</v>
      </c>
      <c r="C10" s="61" t="s">
        <v>101</v>
      </c>
      <c r="D10" s="61" t="s">
        <v>102</v>
      </c>
      <c r="E10" s="61" t="s">
        <v>103</v>
      </c>
      <c r="F10" s="61" t="s">
        <v>104</v>
      </c>
      <c r="G10" s="61" t="s">
        <v>105</v>
      </c>
      <c r="H10" s="61" t="s">
        <v>106</v>
      </c>
      <c r="I10" s="61" t="s">
        <v>107</v>
      </c>
      <c r="J10" s="61" t="s">
        <v>108</v>
      </c>
      <c r="K10" s="61" t="s">
        <v>109</v>
      </c>
      <c r="L10" s="61" t="s">
        <v>110</v>
      </c>
      <c r="M10" s="61" t="s">
        <v>111</v>
      </c>
      <c r="N10" s="61" t="s">
        <v>112</v>
      </c>
      <c r="O10" s="61" t="s">
        <v>113</v>
      </c>
      <c r="P10" s="61" t="s">
        <v>114</v>
      </c>
      <c r="Q10" s="61" t="s">
        <v>115</v>
      </c>
      <c r="R10" s="61" t="s">
        <v>116</v>
      </c>
      <c r="S10" s="61" t="s">
        <v>117</v>
      </c>
      <c r="T10" s="61" t="s">
        <v>118</v>
      </c>
      <c r="U10" s="61" t="s">
        <v>119</v>
      </c>
      <c r="V10" s="61" t="s">
        <v>120</v>
      </c>
      <c r="W10" s="61" t="s">
        <v>121</v>
      </c>
      <c r="X10" s="61" t="s">
        <v>122</v>
      </c>
      <c r="Y10" s="61" t="s">
        <v>123</v>
      </c>
    </row>
    <row r="11" spans="1:25" ht="18" customHeight="1">
      <c r="A11" s="217" t="s">
        <v>124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</row>
    <row r="12" spans="1:25" ht="36" customHeight="1">
      <c r="A12" s="62">
        <v>1</v>
      </c>
      <c r="B12" s="63" t="s">
        <v>125</v>
      </c>
      <c r="C12" s="63" t="s">
        <v>126</v>
      </c>
      <c r="D12" s="64">
        <v>1473</v>
      </c>
      <c r="E12" s="64">
        <v>0</v>
      </c>
      <c r="F12" s="65">
        <v>7204</v>
      </c>
      <c r="G12" s="65">
        <v>2485027100.2199998</v>
      </c>
      <c r="H12" s="65">
        <v>126492851.36</v>
      </c>
      <c r="I12" s="65">
        <v>56177100</v>
      </c>
      <c r="J12" s="65">
        <v>501828179.91000003</v>
      </c>
      <c r="K12" s="65">
        <v>10533000</v>
      </c>
      <c r="L12" s="65">
        <v>770505955.95000005</v>
      </c>
      <c r="M12" s="65">
        <v>23146640</v>
      </c>
      <c r="N12" s="65">
        <v>0</v>
      </c>
      <c r="O12" s="65">
        <v>0</v>
      </c>
      <c r="P12" s="65">
        <v>0</v>
      </c>
      <c r="Q12" s="65">
        <v>25132000</v>
      </c>
      <c r="R12" s="65">
        <v>946573453</v>
      </c>
      <c r="S12" s="65">
        <v>24637920</v>
      </c>
      <c r="T12" s="65">
        <v>34913559.32</v>
      </c>
      <c r="U12" s="65">
        <v>2450113540.9000001</v>
      </c>
      <c r="V12" s="65">
        <v>36222434.25</v>
      </c>
      <c r="W12" s="65">
        <v>0</v>
      </c>
      <c r="X12" s="65">
        <v>0</v>
      </c>
      <c r="Y12" s="65">
        <v>0</v>
      </c>
    </row>
    <row r="13" spans="1:25" ht="18" customHeight="1">
      <c r="A13" s="217" t="s">
        <v>127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</row>
    <row r="14" spans="1:25" ht="36" customHeight="1">
      <c r="A14" s="62">
        <v>2</v>
      </c>
      <c r="B14" s="63" t="s">
        <v>125</v>
      </c>
      <c r="C14" s="63" t="s">
        <v>126</v>
      </c>
      <c r="D14" s="64">
        <v>7033</v>
      </c>
      <c r="E14" s="64">
        <v>0</v>
      </c>
      <c r="F14" s="65">
        <v>0</v>
      </c>
      <c r="G14" s="65">
        <v>1467628283.6600001</v>
      </c>
      <c r="H14" s="65">
        <v>236332544.06</v>
      </c>
      <c r="I14" s="65">
        <v>168323630.75999999</v>
      </c>
      <c r="J14" s="65">
        <v>732642078</v>
      </c>
      <c r="K14" s="65">
        <v>0</v>
      </c>
      <c r="L14" s="65">
        <v>116293230.84</v>
      </c>
      <c r="M14" s="65">
        <v>0</v>
      </c>
      <c r="N14" s="65">
        <v>0</v>
      </c>
      <c r="O14" s="65">
        <v>0</v>
      </c>
      <c r="P14" s="65">
        <v>0</v>
      </c>
      <c r="Q14" s="65">
        <v>214036800</v>
      </c>
      <c r="R14" s="65">
        <v>0</v>
      </c>
      <c r="S14" s="65">
        <v>0</v>
      </c>
      <c r="T14" s="65">
        <v>10704883.689999999</v>
      </c>
      <c r="U14" s="65">
        <v>1456923399.97</v>
      </c>
      <c r="V14" s="65">
        <v>44049893.829999998</v>
      </c>
      <c r="W14" s="65">
        <v>0</v>
      </c>
      <c r="X14" s="65">
        <v>0</v>
      </c>
      <c r="Y14" s="65">
        <v>0</v>
      </c>
    </row>
    <row r="15" spans="1:25" ht="34.5" customHeight="1">
      <c r="A15" s="62">
        <v>3</v>
      </c>
      <c r="B15" s="63" t="s">
        <v>128</v>
      </c>
      <c r="C15" s="63" t="s">
        <v>129</v>
      </c>
      <c r="D15" s="64">
        <v>125</v>
      </c>
      <c r="E15" s="64">
        <v>0</v>
      </c>
      <c r="F15" s="65">
        <v>125</v>
      </c>
      <c r="G15" s="65">
        <v>10614753</v>
      </c>
      <c r="H15" s="65">
        <v>0</v>
      </c>
      <c r="I15" s="65">
        <v>0</v>
      </c>
      <c r="J15" s="65">
        <v>7177253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3437500</v>
      </c>
      <c r="R15" s="65">
        <v>0</v>
      </c>
      <c r="S15" s="65">
        <v>0</v>
      </c>
      <c r="T15" s="65">
        <v>0</v>
      </c>
      <c r="U15" s="65">
        <v>10614753</v>
      </c>
      <c r="V15" s="65">
        <v>0</v>
      </c>
      <c r="W15" s="65">
        <v>0</v>
      </c>
      <c r="X15" s="65">
        <v>0</v>
      </c>
      <c r="Y15" s="65">
        <v>0</v>
      </c>
    </row>
    <row r="16" spans="1:25" ht="34.5" customHeight="1">
      <c r="A16" s="62">
        <v>4</v>
      </c>
      <c r="B16" s="63" t="s">
        <v>130</v>
      </c>
      <c r="C16" s="63" t="s">
        <v>131</v>
      </c>
      <c r="D16" s="64">
        <v>452</v>
      </c>
      <c r="E16" s="64">
        <v>0</v>
      </c>
      <c r="F16" s="65">
        <v>452</v>
      </c>
      <c r="G16" s="65">
        <v>36145831</v>
      </c>
      <c r="H16" s="65">
        <v>0</v>
      </c>
      <c r="I16" s="65">
        <v>0</v>
      </c>
      <c r="J16" s="65">
        <v>23743331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12402500</v>
      </c>
      <c r="R16" s="65">
        <v>0</v>
      </c>
      <c r="S16" s="65">
        <v>0</v>
      </c>
      <c r="T16" s="65">
        <v>0</v>
      </c>
      <c r="U16" s="65">
        <v>36145831</v>
      </c>
      <c r="V16" s="65">
        <v>257400</v>
      </c>
      <c r="W16" s="65">
        <v>0</v>
      </c>
      <c r="X16" s="65">
        <v>0</v>
      </c>
      <c r="Y16" s="65">
        <v>0</v>
      </c>
    </row>
    <row r="17" spans="1:25" ht="34.5" customHeight="1">
      <c r="A17" s="62">
        <v>5</v>
      </c>
      <c r="B17" s="63" t="s">
        <v>132</v>
      </c>
      <c r="C17" s="63" t="s">
        <v>133</v>
      </c>
      <c r="D17" s="64">
        <v>483</v>
      </c>
      <c r="E17" s="64">
        <v>0</v>
      </c>
      <c r="F17" s="65">
        <v>483</v>
      </c>
      <c r="G17" s="65">
        <v>47010793</v>
      </c>
      <c r="H17" s="65">
        <v>0</v>
      </c>
      <c r="I17" s="65">
        <v>0</v>
      </c>
      <c r="J17" s="65">
        <v>33728293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13282500</v>
      </c>
      <c r="R17" s="65">
        <v>0</v>
      </c>
      <c r="S17" s="65">
        <v>0</v>
      </c>
      <c r="T17" s="65">
        <v>0</v>
      </c>
      <c r="U17" s="65">
        <v>47010793</v>
      </c>
      <c r="V17" s="65">
        <v>1402153</v>
      </c>
      <c r="W17" s="65">
        <v>0</v>
      </c>
      <c r="X17" s="65">
        <v>0</v>
      </c>
      <c r="Y17" s="65">
        <v>0</v>
      </c>
    </row>
    <row r="18" spans="1:25" ht="34.5" customHeight="1">
      <c r="A18" s="62">
        <v>6</v>
      </c>
      <c r="B18" s="63" t="s">
        <v>134</v>
      </c>
      <c r="C18" s="63" t="s">
        <v>135</v>
      </c>
      <c r="D18" s="64">
        <v>367</v>
      </c>
      <c r="E18" s="64">
        <v>0</v>
      </c>
      <c r="F18" s="65">
        <v>367</v>
      </c>
      <c r="G18" s="65">
        <v>37378178</v>
      </c>
      <c r="H18" s="65">
        <v>0</v>
      </c>
      <c r="I18" s="65">
        <v>0</v>
      </c>
      <c r="J18" s="65">
        <v>27285678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10092500</v>
      </c>
      <c r="R18" s="65">
        <v>0</v>
      </c>
      <c r="S18" s="65">
        <v>0</v>
      </c>
      <c r="T18" s="65">
        <v>0</v>
      </c>
      <c r="U18" s="65">
        <v>37378178</v>
      </c>
      <c r="V18" s="65">
        <v>451600</v>
      </c>
      <c r="W18" s="65">
        <v>0</v>
      </c>
      <c r="X18" s="65">
        <v>0</v>
      </c>
      <c r="Y18" s="65">
        <v>0</v>
      </c>
    </row>
    <row r="19" spans="1:25" ht="34.5" customHeight="1">
      <c r="A19" s="62">
        <v>7</v>
      </c>
      <c r="B19" s="63" t="s">
        <v>136</v>
      </c>
      <c r="C19" s="63" t="s">
        <v>137</v>
      </c>
      <c r="D19" s="64">
        <v>518</v>
      </c>
      <c r="E19" s="64">
        <v>0</v>
      </c>
      <c r="F19" s="65">
        <v>446</v>
      </c>
      <c r="G19" s="65">
        <v>43801938</v>
      </c>
      <c r="H19" s="65">
        <v>0</v>
      </c>
      <c r="I19" s="65">
        <v>0</v>
      </c>
      <c r="J19" s="65">
        <v>29666938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14135000</v>
      </c>
      <c r="R19" s="65">
        <v>0</v>
      </c>
      <c r="S19" s="65">
        <v>0</v>
      </c>
      <c r="T19" s="65">
        <v>0</v>
      </c>
      <c r="U19" s="65">
        <v>43801938</v>
      </c>
      <c r="V19" s="65">
        <v>1607900</v>
      </c>
      <c r="W19" s="65">
        <v>0</v>
      </c>
      <c r="X19" s="65">
        <v>0</v>
      </c>
      <c r="Y19" s="65">
        <v>0</v>
      </c>
    </row>
    <row r="20" spans="1:25" ht="34.5" customHeight="1">
      <c r="A20" s="62">
        <v>8</v>
      </c>
      <c r="B20" s="63" t="s">
        <v>138</v>
      </c>
      <c r="C20" s="63" t="s">
        <v>139</v>
      </c>
      <c r="D20" s="64">
        <v>538</v>
      </c>
      <c r="E20" s="64">
        <v>0</v>
      </c>
      <c r="F20" s="65">
        <v>544</v>
      </c>
      <c r="G20" s="65">
        <v>48630105</v>
      </c>
      <c r="H20" s="65">
        <v>0</v>
      </c>
      <c r="I20" s="65">
        <v>0</v>
      </c>
      <c r="J20" s="65">
        <v>33571651</v>
      </c>
      <c r="K20" s="65">
        <v>0</v>
      </c>
      <c r="L20" s="65">
        <v>0</v>
      </c>
      <c r="M20" s="65">
        <v>38454</v>
      </c>
      <c r="N20" s="65">
        <v>0</v>
      </c>
      <c r="O20" s="65">
        <v>0</v>
      </c>
      <c r="P20" s="65">
        <v>0</v>
      </c>
      <c r="Q20" s="65">
        <v>14740000</v>
      </c>
      <c r="R20" s="65">
        <v>280000</v>
      </c>
      <c r="S20" s="65">
        <v>0</v>
      </c>
      <c r="T20" s="65">
        <v>0</v>
      </c>
      <c r="U20" s="65">
        <v>48630105</v>
      </c>
      <c r="V20" s="65">
        <v>207800</v>
      </c>
      <c r="W20" s="65">
        <v>0</v>
      </c>
      <c r="X20" s="65">
        <v>0</v>
      </c>
      <c r="Y20" s="65">
        <v>0</v>
      </c>
    </row>
    <row r="21" spans="1:25" ht="34.5" customHeight="1">
      <c r="A21" s="62">
        <v>9</v>
      </c>
      <c r="B21" s="63" t="s">
        <v>140</v>
      </c>
      <c r="C21" s="63" t="s">
        <v>141</v>
      </c>
      <c r="D21" s="64">
        <v>543</v>
      </c>
      <c r="E21" s="64">
        <v>0</v>
      </c>
      <c r="F21" s="65">
        <v>543</v>
      </c>
      <c r="G21" s="65">
        <v>54654382</v>
      </c>
      <c r="H21" s="65">
        <v>0</v>
      </c>
      <c r="I21" s="65">
        <v>0</v>
      </c>
      <c r="J21" s="65">
        <v>39721882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14932500</v>
      </c>
      <c r="R21" s="65">
        <v>0</v>
      </c>
      <c r="S21" s="65">
        <v>0</v>
      </c>
      <c r="T21" s="65">
        <v>0</v>
      </c>
      <c r="U21" s="65">
        <v>54654382</v>
      </c>
      <c r="V21" s="65">
        <v>29400</v>
      </c>
      <c r="W21" s="65">
        <v>0</v>
      </c>
      <c r="X21" s="65">
        <v>0</v>
      </c>
      <c r="Y21" s="65">
        <v>0</v>
      </c>
    </row>
    <row r="22" spans="1:25" ht="34.5" customHeight="1">
      <c r="A22" s="62">
        <v>10</v>
      </c>
      <c r="B22" s="63" t="s">
        <v>142</v>
      </c>
      <c r="C22" s="63" t="s">
        <v>143</v>
      </c>
      <c r="D22" s="64">
        <v>341</v>
      </c>
      <c r="E22" s="64">
        <v>0</v>
      </c>
      <c r="F22" s="65">
        <v>343</v>
      </c>
      <c r="G22" s="65">
        <v>29058488</v>
      </c>
      <c r="H22" s="65">
        <v>0</v>
      </c>
      <c r="I22" s="65">
        <v>0</v>
      </c>
      <c r="J22" s="65">
        <v>18635588</v>
      </c>
      <c r="K22" s="65">
        <v>0</v>
      </c>
      <c r="L22" s="65">
        <v>988400</v>
      </c>
      <c r="M22" s="65">
        <v>0</v>
      </c>
      <c r="N22" s="65">
        <v>0</v>
      </c>
      <c r="O22" s="65">
        <v>0</v>
      </c>
      <c r="P22" s="65">
        <v>0</v>
      </c>
      <c r="Q22" s="65">
        <v>9322500</v>
      </c>
      <c r="R22" s="65">
        <v>112000</v>
      </c>
      <c r="S22" s="65">
        <v>0</v>
      </c>
      <c r="T22" s="65">
        <v>0</v>
      </c>
      <c r="U22" s="65">
        <v>29058488</v>
      </c>
      <c r="V22" s="65">
        <v>483920</v>
      </c>
      <c r="W22" s="65">
        <v>0</v>
      </c>
      <c r="X22" s="65">
        <v>0</v>
      </c>
      <c r="Y22" s="65">
        <v>0</v>
      </c>
    </row>
    <row r="23" spans="1:25" ht="34.5" customHeight="1">
      <c r="A23" s="62">
        <v>11</v>
      </c>
      <c r="B23" s="63" t="s">
        <v>144</v>
      </c>
      <c r="C23" s="63" t="s">
        <v>145</v>
      </c>
      <c r="D23" s="64">
        <v>458</v>
      </c>
      <c r="E23" s="64">
        <v>0</v>
      </c>
      <c r="F23" s="65">
        <v>458</v>
      </c>
      <c r="G23" s="65">
        <v>36671165</v>
      </c>
      <c r="H23" s="65">
        <v>0</v>
      </c>
      <c r="I23" s="65">
        <v>0</v>
      </c>
      <c r="J23" s="65">
        <v>24076165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12595000</v>
      </c>
      <c r="R23" s="65">
        <v>0</v>
      </c>
      <c r="S23" s="65">
        <v>0</v>
      </c>
      <c r="T23" s="65">
        <v>0</v>
      </c>
      <c r="U23" s="65">
        <v>36671165</v>
      </c>
      <c r="V23" s="65">
        <v>1337876</v>
      </c>
      <c r="W23" s="65">
        <v>0</v>
      </c>
      <c r="X23" s="65">
        <v>0</v>
      </c>
      <c r="Y23" s="65">
        <v>0</v>
      </c>
    </row>
    <row r="24" spans="1:25" ht="34.5" customHeight="1">
      <c r="A24" s="62">
        <v>12</v>
      </c>
      <c r="B24" s="63" t="s">
        <v>146</v>
      </c>
      <c r="C24" s="63" t="s">
        <v>147</v>
      </c>
      <c r="D24" s="64">
        <v>563</v>
      </c>
      <c r="E24" s="64">
        <v>0</v>
      </c>
      <c r="F24" s="65">
        <v>563</v>
      </c>
      <c r="G24" s="65">
        <v>48955913</v>
      </c>
      <c r="H24" s="65">
        <v>0</v>
      </c>
      <c r="I24" s="65">
        <v>0</v>
      </c>
      <c r="J24" s="65">
        <v>33473413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15482500</v>
      </c>
      <c r="R24" s="65">
        <v>0</v>
      </c>
      <c r="S24" s="65">
        <v>0</v>
      </c>
      <c r="T24" s="65">
        <v>0</v>
      </c>
      <c r="U24" s="65">
        <v>48955913</v>
      </c>
      <c r="V24" s="65">
        <v>801200</v>
      </c>
      <c r="W24" s="65">
        <v>0</v>
      </c>
      <c r="X24" s="65">
        <v>0</v>
      </c>
      <c r="Y24" s="65">
        <v>0</v>
      </c>
    </row>
    <row r="25" spans="1:25" ht="34.5" customHeight="1">
      <c r="A25" s="62">
        <v>13</v>
      </c>
      <c r="B25" s="63" t="s">
        <v>148</v>
      </c>
      <c r="C25" s="63" t="s">
        <v>149</v>
      </c>
      <c r="D25" s="64">
        <v>317</v>
      </c>
      <c r="E25" s="64">
        <v>0</v>
      </c>
      <c r="F25" s="65">
        <v>317</v>
      </c>
      <c r="G25" s="65">
        <v>25270083</v>
      </c>
      <c r="H25" s="65">
        <v>0</v>
      </c>
      <c r="I25" s="65">
        <v>0</v>
      </c>
      <c r="J25" s="65">
        <v>16552583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8717500</v>
      </c>
      <c r="R25" s="65">
        <v>0</v>
      </c>
      <c r="S25" s="65">
        <v>0</v>
      </c>
      <c r="T25" s="65">
        <v>0</v>
      </c>
      <c r="U25" s="65">
        <v>25270083</v>
      </c>
      <c r="V25" s="65">
        <v>1935421</v>
      </c>
      <c r="W25" s="65">
        <v>0</v>
      </c>
      <c r="X25" s="65">
        <v>0</v>
      </c>
      <c r="Y25" s="65">
        <v>0</v>
      </c>
    </row>
    <row r="26" spans="1:25" ht="34.5" customHeight="1">
      <c r="A26" s="62">
        <v>14</v>
      </c>
      <c r="B26" s="63" t="s">
        <v>150</v>
      </c>
      <c r="C26" s="63" t="s">
        <v>151</v>
      </c>
      <c r="D26" s="64">
        <v>233</v>
      </c>
      <c r="E26" s="64">
        <v>0</v>
      </c>
      <c r="F26" s="65">
        <v>233</v>
      </c>
      <c r="G26" s="65">
        <v>19856657</v>
      </c>
      <c r="H26" s="65">
        <v>0</v>
      </c>
      <c r="I26" s="65">
        <v>0</v>
      </c>
      <c r="J26" s="65">
        <v>13449157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  <c r="Q26" s="65">
        <v>6407500</v>
      </c>
      <c r="R26" s="65">
        <v>0</v>
      </c>
      <c r="S26" s="65">
        <v>0</v>
      </c>
      <c r="T26" s="65">
        <v>0</v>
      </c>
      <c r="U26" s="65">
        <v>19856657</v>
      </c>
      <c r="V26" s="65">
        <v>408000</v>
      </c>
      <c r="W26" s="65">
        <v>0</v>
      </c>
      <c r="X26" s="65">
        <v>0</v>
      </c>
      <c r="Y26" s="65">
        <v>0</v>
      </c>
    </row>
    <row r="27" spans="1:25" ht="32.25" customHeight="1">
      <c r="A27" s="66" t="s">
        <v>152</v>
      </c>
      <c r="B27" s="67" t="s">
        <v>85</v>
      </c>
      <c r="C27" s="68"/>
      <c r="D27" s="64">
        <v>13444</v>
      </c>
      <c r="E27" s="64">
        <v>0</v>
      </c>
      <c r="F27" s="65">
        <v>12078</v>
      </c>
      <c r="G27" s="65">
        <v>4390703669.8800001</v>
      </c>
      <c r="H27" s="65">
        <v>362825395.42000002</v>
      </c>
      <c r="I27" s="65">
        <v>224500730.75999999</v>
      </c>
      <c r="J27" s="65">
        <v>1535552189.9100001</v>
      </c>
      <c r="K27" s="65">
        <v>10533000</v>
      </c>
      <c r="L27" s="65">
        <v>887787586.78999996</v>
      </c>
      <c r="M27" s="65">
        <v>23185094</v>
      </c>
      <c r="N27" s="65">
        <v>0</v>
      </c>
      <c r="O27" s="65">
        <v>0</v>
      </c>
      <c r="P27" s="65">
        <v>0</v>
      </c>
      <c r="Q27" s="65">
        <v>374716300</v>
      </c>
      <c r="R27" s="65">
        <v>946965453</v>
      </c>
      <c r="S27" s="65">
        <v>24637920</v>
      </c>
      <c r="T27" s="65">
        <v>45618443.009999998</v>
      </c>
      <c r="U27" s="65">
        <v>4345085226.8699999</v>
      </c>
      <c r="V27" s="65">
        <v>89194998.079999998</v>
      </c>
      <c r="W27" s="65">
        <v>0</v>
      </c>
      <c r="X27" s="65">
        <v>0</v>
      </c>
      <c r="Y27" s="65">
        <v>0</v>
      </c>
    </row>
    <row r="28" spans="1:25" ht="15" customHeight="1">
      <c r="R28" s="218" t="s">
        <v>153</v>
      </c>
      <c r="S28" s="218"/>
      <c r="T28" s="218"/>
      <c r="U28" s="218"/>
      <c r="V28" s="218"/>
      <c r="W28" s="218"/>
      <c r="X28" s="218"/>
      <c r="Y28" s="218"/>
    </row>
    <row r="29" spans="1:25" ht="18" customHeight="1">
      <c r="A29" s="219" t="s">
        <v>154</v>
      </c>
      <c r="B29" s="219"/>
      <c r="C29" s="219"/>
      <c r="D29" s="219"/>
      <c r="E29" s="219"/>
      <c r="F29" s="219"/>
      <c r="G29" s="219"/>
      <c r="H29" s="219" t="s">
        <v>155</v>
      </c>
      <c r="I29" s="219"/>
      <c r="J29" s="219"/>
      <c r="K29" s="219"/>
      <c r="L29" s="219"/>
      <c r="M29" s="219"/>
      <c r="N29" s="219"/>
      <c r="O29" s="219"/>
      <c r="P29" s="219"/>
      <c r="Q29" s="219" t="s">
        <v>156</v>
      </c>
      <c r="R29" s="219"/>
      <c r="S29" s="219"/>
      <c r="T29" s="219"/>
      <c r="U29" s="219"/>
      <c r="V29" s="219"/>
      <c r="W29" s="219"/>
      <c r="X29" s="219"/>
      <c r="Y29" s="219"/>
    </row>
    <row r="30" spans="1:25" ht="18" customHeight="1">
      <c r="A30" s="220" t="s">
        <v>157</v>
      </c>
      <c r="B30" s="220"/>
      <c r="C30" s="220"/>
      <c r="D30" s="220"/>
      <c r="E30" s="220"/>
      <c r="F30" s="220"/>
      <c r="G30" s="220"/>
      <c r="H30" s="220" t="s">
        <v>157</v>
      </c>
      <c r="I30" s="220"/>
      <c r="J30" s="220"/>
      <c r="K30" s="220"/>
      <c r="L30" s="220"/>
      <c r="M30" s="220"/>
      <c r="N30" s="220"/>
      <c r="O30" s="220"/>
      <c r="P30" s="220"/>
      <c r="Q30" s="220" t="s">
        <v>158</v>
      </c>
      <c r="R30" s="220"/>
      <c r="S30" s="220"/>
      <c r="T30" s="220"/>
      <c r="U30" s="220"/>
      <c r="V30" s="220"/>
      <c r="W30" s="220"/>
      <c r="X30" s="220"/>
      <c r="Y30" s="220"/>
    </row>
    <row r="31" spans="1:25" ht="40.5" customHeight="1"/>
    <row r="32" spans="1:25" ht="16.5" customHeight="1">
      <c r="T32" s="215" t="s">
        <v>164</v>
      </c>
      <c r="U32" s="215"/>
      <c r="V32" s="215"/>
      <c r="W32" s="215"/>
      <c r="X32" s="216" t="s">
        <v>160</v>
      </c>
      <c r="Y32" s="216"/>
    </row>
  </sheetData>
  <mergeCells count="39">
    <mergeCell ref="G7:R7"/>
    <mergeCell ref="R8:R9"/>
    <mergeCell ref="A1:V1"/>
    <mergeCell ref="W1:Y1"/>
    <mergeCell ref="A2:Y2"/>
    <mergeCell ref="A4:Y4"/>
    <mergeCell ref="A5:Y5"/>
    <mergeCell ref="A6:Y6"/>
    <mergeCell ref="T8:T9"/>
    <mergeCell ref="U8:U9"/>
    <mergeCell ref="W8:W9"/>
    <mergeCell ref="X8:X9"/>
    <mergeCell ref="Y8:Y9"/>
    <mergeCell ref="A11:Y11"/>
    <mergeCell ref="S7:S9"/>
    <mergeCell ref="T7:U7"/>
    <mergeCell ref="V7:V9"/>
    <mergeCell ref="W7:Y7"/>
    <mergeCell ref="D8:D9"/>
    <mergeCell ref="E8:E9"/>
    <mergeCell ref="G8:G9"/>
    <mergeCell ref="H8:M8"/>
    <mergeCell ref="N8:P8"/>
    <mergeCell ref="Q8:Q9"/>
    <mergeCell ref="A7:A9"/>
    <mergeCell ref="B7:B9"/>
    <mergeCell ref="C7:C9"/>
    <mergeCell ref="D7:E7"/>
    <mergeCell ref="F7:F9"/>
    <mergeCell ref="T32:W32"/>
    <mergeCell ref="X32:Y32"/>
    <mergeCell ref="A13:Y13"/>
    <mergeCell ref="R28:Y28"/>
    <mergeCell ref="A29:G29"/>
    <mergeCell ref="H29:P29"/>
    <mergeCell ref="Q29:Y29"/>
    <mergeCell ref="A30:G30"/>
    <mergeCell ref="H30:P30"/>
    <mergeCell ref="Q30:Y30"/>
  </mergeCells>
  <pageMargins left="0.23" right="0.25" top="0.36" bottom="0.53" header="0" footer="0"/>
  <pageSetup paperSize="0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opLeftCell="C11" workbookViewId="0">
      <selection activeCell="V15" sqref="V15:V26"/>
    </sheetView>
  </sheetViews>
  <sheetFormatPr defaultColWidth="8.75" defaultRowHeight="15"/>
  <cols>
    <col min="1" max="1" width="5.75" style="60" customWidth="1"/>
    <col min="2" max="2" width="9.625" style="60" customWidth="1"/>
    <col min="3" max="3" width="5.75" style="60" customWidth="1"/>
    <col min="4" max="4" width="7.25" style="60" customWidth="1"/>
    <col min="5" max="5" width="5.875" style="60" customWidth="1"/>
    <col min="6" max="6" width="6.75" style="60" customWidth="1"/>
    <col min="7" max="7" width="9.875" style="60" customWidth="1"/>
    <col min="8" max="8" width="8.625" style="60" customWidth="1"/>
    <col min="9" max="9" width="8.25" style="60" customWidth="1"/>
    <col min="10" max="10" width="9.5" style="60" customWidth="1"/>
    <col min="11" max="12" width="8.375" style="60" customWidth="1"/>
    <col min="13" max="13" width="8.625" style="60" customWidth="1"/>
    <col min="14" max="14" width="10.25" style="60" customWidth="1"/>
    <col min="15" max="15" width="9" style="60" customWidth="1"/>
    <col min="16" max="16" width="8" style="60" customWidth="1"/>
    <col min="17" max="17" width="9.625" style="60" customWidth="1"/>
    <col min="18" max="18" width="8.875" style="60" customWidth="1"/>
    <col min="19" max="19" width="10.75" style="60" customWidth="1"/>
    <col min="20" max="20" width="12.25" style="60" customWidth="1"/>
    <col min="21" max="22" width="10.25" style="60" customWidth="1"/>
    <col min="23" max="23" width="7.75" style="60" customWidth="1"/>
    <col min="24" max="24" width="6.25" style="60" customWidth="1"/>
    <col min="25" max="25" width="10.25" style="60" customWidth="1"/>
    <col min="26" max="16384" width="8.75" style="60"/>
  </cols>
  <sheetData>
    <row r="1" spans="1:25" ht="17.25" customHeight="1">
      <c r="A1" s="224" t="s">
        <v>67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5" t="s">
        <v>68</v>
      </c>
      <c r="X1" s="225"/>
      <c r="Y1" s="225"/>
    </row>
    <row r="2" spans="1:25" ht="17.25" customHeight="1">
      <c r="A2" s="224" t="s">
        <v>69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</row>
    <row r="3" spans="1:25" ht="15.75" customHeight="1"/>
    <row r="4" spans="1:25" ht="21" customHeight="1">
      <c r="A4" s="226" t="s">
        <v>70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</row>
    <row r="5" spans="1:25" ht="16.5" customHeight="1">
      <c r="A5" s="227" t="s">
        <v>161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</row>
    <row r="6" spans="1:25" ht="17.25" customHeight="1">
      <c r="A6" s="228" t="s">
        <v>72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</row>
    <row r="7" spans="1:25" ht="26.25" customHeight="1">
      <c r="A7" s="223" t="s">
        <v>73</v>
      </c>
      <c r="B7" s="221" t="s">
        <v>74</v>
      </c>
      <c r="C7" s="221" t="s">
        <v>75</v>
      </c>
      <c r="D7" s="221" t="s">
        <v>76</v>
      </c>
      <c r="E7" s="221"/>
      <c r="F7" s="221" t="s">
        <v>77</v>
      </c>
      <c r="G7" s="221" t="s">
        <v>78</v>
      </c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 t="s">
        <v>79</v>
      </c>
      <c r="T7" s="221" t="s">
        <v>80</v>
      </c>
      <c r="U7" s="221"/>
      <c r="V7" s="221" t="s">
        <v>81</v>
      </c>
      <c r="W7" s="221" t="s">
        <v>82</v>
      </c>
      <c r="X7" s="221"/>
      <c r="Y7" s="221"/>
    </row>
    <row r="8" spans="1:25" ht="27.75" customHeight="1">
      <c r="A8" s="223"/>
      <c r="B8" s="221"/>
      <c r="C8" s="221"/>
      <c r="D8" s="222" t="s">
        <v>83</v>
      </c>
      <c r="E8" s="222" t="s">
        <v>84</v>
      </c>
      <c r="F8" s="221"/>
      <c r="G8" s="222" t="s">
        <v>85</v>
      </c>
      <c r="H8" s="222" t="s">
        <v>86</v>
      </c>
      <c r="I8" s="222"/>
      <c r="J8" s="222"/>
      <c r="K8" s="222"/>
      <c r="L8" s="222"/>
      <c r="M8" s="222"/>
      <c r="N8" s="222" t="s">
        <v>87</v>
      </c>
      <c r="O8" s="222"/>
      <c r="P8" s="222"/>
      <c r="Q8" s="222" t="s">
        <v>41</v>
      </c>
      <c r="R8" s="222" t="s">
        <v>88</v>
      </c>
      <c r="S8" s="221"/>
      <c r="T8" s="222" t="s">
        <v>89</v>
      </c>
      <c r="U8" s="222" t="s">
        <v>90</v>
      </c>
      <c r="V8" s="221"/>
      <c r="W8" s="222" t="s">
        <v>76</v>
      </c>
      <c r="X8" s="222" t="s">
        <v>91</v>
      </c>
      <c r="Y8" s="222" t="s">
        <v>89</v>
      </c>
    </row>
    <row r="9" spans="1:25" ht="28.5" customHeight="1">
      <c r="A9" s="223"/>
      <c r="B9" s="221"/>
      <c r="C9" s="221"/>
      <c r="D9" s="222"/>
      <c r="E9" s="222"/>
      <c r="F9" s="221"/>
      <c r="G9" s="222"/>
      <c r="H9" s="61" t="s">
        <v>92</v>
      </c>
      <c r="I9" s="61" t="s">
        <v>93</v>
      </c>
      <c r="J9" s="61" t="s">
        <v>94</v>
      </c>
      <c r="K9" s="61" t="s">
        <v>95</v>
      </c>
      <c r="L9" s="61" t="s">
        <v>96</v>
      </c>
      <c r="M9" s="61" t="s">
        <v>97</v>
      </c>
      <c r="N9" s="61" t="s">
        <v>98</v>
      </c>
      <c r="O9" s="61" t="s">
        <v>94</v>
      </c>
      <c r="P9" s="61" t="s">
        <v>97</v>
      </c>
      <c r="Q9" s="222"/>
      <c r="R9" s="222"/>
      <c r="S9" s="221"/>
      <c r="T9" s="222"/>
      <c r="U9" s="222"/>
      <c r="V9" s="221"/>
      <c r="W9" s="222"/>
      <c r="X9" s="222"/>
      <c r="Y9" s="222"/>
    </row>
    <row r="10" spans="1:25" ht="21" customHeight="1">
      <c r="A10" s="62" t="s">
        <v>99</v>
      </c>
      <c r="B10" s="61" t="s">
        <v>100</v>
      </c>
      <c r="C10" s="61" t="s">
        <v>101</v>
      </c>
      <c r="D10" s="61" t="s">
        <v>102</v>
      </c>
      <c r="E10" s="61" t="s">
        <v>103</v>
      </c>
      <c r="F10" s="61" t="s">
        <v>104</v>
      </c>
      <c r="G10" s="61" t="s">
        <v>105</v>
      </c>
      <c r="H10" s="61" t="s">
        <v>106</v>
      </c>
      <c r="I10" s="61" t="s">
        <v>107</v>
      </c>
      <c r="J10" s="61" t="s">
        <v>108</v>
      </c>
      <c r="K10" s="61" t="s">
        <v>109</v>
      </c>
      <c r="L10" s="61" t="s">
        <v>110</v>
      </c>
      <c r="M10" s="61" t="s">
        <v>111</v>
      </c>
      <c r="N10" s="61" t="s">
        <v>112</v>
      </c>
      <c r="O10" s="61" t="s">
        <v>113</v>
      </c>
      <c r="P10" s="61" t="s">
        <v>114</v>
      </c>
      <c r="Q10" s="61" t="s">
        <v>115</v>
      </c>
      <c r="R10" s="61" t="s">
        <v>116</v>
      </c>
      <c r="S10" s="61" t="s">
        <v>117</v>
      </c>
      <c r="T10" s="61" t="s">
        <v>118</v>
      </c>
      <c r="U10" s="61" t="s">
        <v>119</v>
      </c>
      <c r="V10" s="61" t="s">
        <v>120</v>
      </c>
      <c r="W10" s="61" t="s">
        <v>121</v>
      </c>
      <c r="X10" s="61" t="s">
        <v>122</v>
      </c>
      <c r="Y10" s="61" t="s">
        <v>123</v>
      </c>
    </row>
    <row r="11" spans="1:25" ht="18" customHeight="1">
      <c r="A11" s="217" t="s">
        <v>124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</row>
    <row r="12" spans="1:25" ht="36" customHeight="1">
      <c r="A12" s="62">
        <v>1</v>
      </c>
      <c r="B12" s="63" t="s">
        <v>125</v>
      </c>
      <c r="C12" s="63" t="s">
        <v>126</v>
      </c>
      <c r="D12" s="64">
        <v>1745</v>
      </c>
      <c r="E12" s="64">
        <v>0</v>
      </c>
      <c r="F12" s="65">
        <v>7925</v>
      </c>
      <c r="G12" s="65">
        <v>2524342927.9899998</v>
      </c>
      <c r="H12" s="65">
        <v>122376056.06</v>
      </c>
      <c r="I12" s="65">
        <v>54468525.810000002</v>
      </c>
      <c r="J12" s="65">
        <v>544968317.47000003</v>
      </c>
      <c r="K12" s="65">
        <v>1764000</v>
      </c>
      <c r="L12" s="65">
        <v>610782091.88999999</v>
      </c>
      <c r="M12" s="65">
        <v>22840556.940000001</v>
      </c>
      <c r="N12" s="65">
        <v>0</v>
      </c>
      <c r="O12" s="65">
        <v>7133316</v>
      </c>
      <c r="P12" s="65">
        <v>0</v>
      </c>
      <c r="Q12" s="65">
        <v>28968900</v>
      </c>
      <c r="R12" s="65">
        <v>1092189303.8199999</v>
      </c>
      <c r="S12" s="65">
        <v>38851860</v>
      </c>
      <c r="T12" s="65">
        <v>37385598.640000001</v>
      </c>
      <c r="U12" s="65">
        <v>2486957329.3499999</v>
      </c>
      <c r="V12" s="65">
        <v>55145673.299999997</v>
      </c>
      <c r="W12" s="65">
        <v>0</v>
      </c>
      <c r="X12" s="65">
        <v>0</v>
      </c>
      <c r="Y12" s="65">
        <v>0</v>
      </c>
    </row>
    <row r="13" spans="1:25" ht="18" customHeight="1">
      <c r="A13" s="217" t="s">
        <v>127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</row>
    <row r="14" spans="1:25" ht="36" customHeight="1">
      <c r="A14" s="62">
        <v>2</v>
      </c>
      <c r="B14" s="63" t="s">
        <v>125</v>
      </c>
      <c r="C14" s="63" t="s">
        <v>126</v>
      </c>
      <c r="D14" s="64">
        <v>8038</v>
      </c>
      <c r="E14" s="64">
        <v>0</v>
      </c>
      <c r="F14" s="65">
        <v>0</v>
      </c>
      <c r="G14" s="65">
        <v>1676616154.05</v>
      </c>
      <c r="H14" s="65">
        <v>259904620.25</v>
      </c>
      <c r="I14" s="65">
        <v>169435620.94999999</v>
      </c>
      <c r="J14" s="65">
        <v>931485906.09000003</v>
      </c>
      <c r="K14" s="65">
        <v>0</v>
      </c>
      <c r="L14" s="65">
        <v>71270572.120000005</v>
      </c>
      <c r="M14" s="65">
        <v>0</v>
      </c>
      <c r="N14" s="65">
        <v>0</v>
      </c>
      <c r="O14" s="65">
        <v>0</v>
      </c>
      <c r="P14" s="65">
        <v>0</v>
      </c>
      <c r="Q14" s="65">
        <v>244519434.63999999</v>
      </c>
      <c r="R14" s="65">
        <v>0</v>
      </c>
      <c r="S14" s="65">
        <v>0</v>
      </c>
      <c r="T14" s="65">
        <v>10953715.050000001</v>
      </c>
      <c r="U14" s="65">
        <v>1665662439</v>
      </c>
      <c r="V14" s="65">
        <v>20611421.25</v>
      </c>
      <c r="W14" s="65">
        <v>0</v>
      </c>
      <c r="X14" s="65">
        <v>0</v>
      </c>
      <c r="Y14" s="65">
        <v>0</v>
      </c>
    </row>
    <row r="15" spans="1:25" ht="34.5" customHeight="1">
      <c r="A15" s="62">
        <v>3</v>
      </c>
      <c r="B15" s="63" t="s">
        <v>128</v>
      </c>
      <c r="C15" s="63" t="s">
        <v>129</v>
      </c>
      <c r="D15" s="64">
        <v>215</v>
      </c>
      <c r="E15" s="64">
        <v>0</v>
      </c>
      <c r="F15" s="65">
        <v>215</v>
      </c>
      <c r="G15" s="65">
        <v>23773664</v>
      </c>
      <c r="H15" s="65">
        <v>0</v>
      </c>
      <c r="I15" s="65">
        <v>0</v>
      </c>
      <c r="J15" s="65">
        <v>17861164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5912500</v>
      </c>
      <c r="R15" s="65">
        <v>0</v>
      </c>
      <c r="S15" s="65">
        <v>0</v>
      </c>
      <c r="T15" s="65">
        <v>0</v>
      </c>
      <c r="U15" s="65">
        <v>23773664</v>
      </c>
      <c r="V15" s="65">
        <v>101000</v>
      </c>
      <c r="W15" s="65">
        <v>0</v>
      </c>
      <c r="X15" s="65">
        <v>0</v>
      </c>
      <c r="Y15" s="65">
        <v>0</v>
      </c>
    </row>
    <row r="16" spans="1:25" ht="34.5" customHeight="1">
      <c r="A16" s="62">
        <v>4</v>
      </c>
      <c r="B16" s="63" t="s">
        <v>130</v>
      </c>
      <c r="C16" s="63" t="s">
        <v>131</v>
      </c>
      <c r="D16" s="64">
        <v>697</v>
      </c>
      <c r="E16" s="64">
        <v>0</v>
      </c>
      <c r="F16" s="65">
        <v>630</v>
      </c>
      <c r="G16" s="65">
        <v>56409597</v>
      </c>
      <c r="H16" s="65">
        <v>0</v>
      </c>
      <c r="I16" s="65">
        <v>0</v>
      </c>
      <c r="J16" s="65">
        <v>36719397</v>
      </c>
      <c r="K16" s="65">
        <v>0</v>
      </c>
      <c r="L16" s="65">
        <v>494200</v>
      </c>
      <c r="M16" s="65">
        <v>0</v>
      </c>
      <c r="N16" s="65">
        <v>0</v>
      </c>
      <c r="O16" s="65">
        <v>0</v>
      </c>
      <c r="P16" s="65">
        <v>0</v>
      </c>
      <c r="Q16" s="65">
        <v>19140000</v>
      </c>
      <c r="R16" s="65">
        <v>56000</v>
      </c>
      <c r="S16" s="65">
        <v>0</v>
      </c>
      <c r="T16" s="65">
        <v>0</v>
      </c>
      <c r="U16" s="65">
        <v>56409597</v>
      </c>
      <c r="V16" s="65">
        <v>195800</v>
      </c>
      <c r="W16" s="65">
        <v>0</v>
      </c>
      <c r="X16" s="65">
        <v>0</v>
      </c>
      <c r="Y16" s="65">
        <v>0</v>
      </c>
    </row>
    <row r="17" spans="1:25" ht="34.5" customHeight="1">
      <c r="A17" s="62">
        <v>5</v>
      </c>
      <c r="B17" s="63" t="s">
        <v>132</v>
      </c>
      <c r="C17" s="63" t="s">
        <v>133</v>
      </c>
      <c r="D17" s="64">
        <v>434</v>
      </c>
      <c r="E17" s="64">
        <v>0</v>
      </c>
      <c r="F17" s="65">
        <v>434</v>
      </c>
      <c r="G17" s="65">
        <v>40240123</v>
      </c>
      <c r="H17" s="65">
        <v>0</v>
      </c>
      <c r="I17" s="65">
        <v>0</v>
      </c>
      <c r="J17" s="65">
        <v>28305123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11935000</v>
      </c>
      <c r="R17" s="65">
        <v>0</v>
      </c>
      <c r="S17" s="65">
        <v>0</v>
      </c>
      <c r="T17" s="65">
        <v>0</v>
      </c>
      <c r="U17" s="65">
        <v>40240123</v>
      </c>
      <c r="V17" s="65">
        <v>518044</v>
      </c>
      <c r="W17" s="65">
        <v>0</v>
      </c>
      <c r="X17" s="65">
        <v>0</v>
      </c>
      <c r="Y17" s="65">
        <v>0</v>
      </c>
    </row>
    <row r="18" spans="1:25" ht="34.5" customHeight="1">
      <c r="A18" s="62">
        <v>6</v>
      </c>
      <c r="B18" s="63" t="s">
        <v>134</v>
      </c>
      <c r="C18" s="63" t="s">
        <v>135</v>
      </c>
      <c r="D18" s="64">
        <v>523</v>
      </c>
      <c r="E18" s="64">
        <v>0</v>
      </c>
      <c r="F18" s="65">
        <v>523</v>
      </c>
      <c r="G18" s="65">
        <v>48307414</v>
      </c>
      <c r="H18" s="65">
        <v>0</v>
      </c>
      <c r="I18" s="65">
        <v>0</v>
      </c>
      <c r="J18" s="65">
        <v>33952414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14355000</v>
      </c>
      <c r="R18" s="65">
        <v>0</v>
      </c>
      <c r="S18" s="65">
        <v>0</v>
      </c>
      <c r="T18" s="65">
        <v>0</v>
      </c>
      <c r="U18" s="65">
        <v>48307414</v>
      </c>
      <c r="V18" s="65">
        <v>326710</v>
      </c>
      <c r="W18" s="65">
        <v>0</v>
      </c>
      <c r="X18" s="65">
        <v>0</v>
      </c>
      <c r="Y18" s="65">
        <v>0</v>
      </c>
    </row>
    <row r="19" spans="1:25" ht="34.5" customHeight="1">
      <c r="A19" s="62">
        <v>7</v>
      </c>
      <c r="B19" s="63" t="s">
        <v>136</v>
      </c>
      <c r="C19" s="63" t="s">
        <v>137</v>
      </c>
      <c r="D19" s="64">
        <v>534</v>
      </c>
      <c r="E19" s="64">
        <v>0</v>
      </c>
      <c r="F19" s="65">
        <v>514</v>
      </c>
      <c r="G19" s="65">
        <v>46699495</v>
      </c>
      <c r="H19" s="65">
        <v>0</v>
      </c>
      <c r="I19" s="65">
        <v>0</v>
      </c>
      <c r="J19" s="65">
        <v>32041995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14657500</v>
      </c>
      <c r="R19" s="65">
        <v>0</v>
      </c>
      <c r="S19" s="65">
        <v>0</v>
      </c>
      <c r="T19" s="65">
        <v>0</v>
      </c>
      <c r="U19" s="65">
        <v>46699495</v>
      </c>
      <c r="V19" s="65">
        <v>73100</v>
      </c>
      <c r="W19" s="65">
        <v>0</v>
      </c>
      <c r="X19" s="65">
        <v>0</v>
      </c>
      <c r="Y19" s="65">
        <v>0</v>
      </c>
    </row>
    <row r="20" spans="1:25" ht="34.5" customHeight="1">
      <c r="A20" s="62">
        <v>8</v>
      </c>
      <c r="B20" s="63" t="s">
        <v>138</v>
      </c>
      <c r="C20" s="63" t="s">
        <v>139</v>
      </c>
      <c r="D20" s="64">
        <v>617</v>
      </c>
      <c r="E20" s="64">
        <v>0</v>
      </c>
      <c r="F20" s="65">
        <v>641</v>
      </c>
      <c r="G20" s="65">
        <v>56765185</v>
      </c>
      <c r="H20" s="65">
        <v>0</v>
      </c>
      <c r="I20" s="65">
        <v>0</v>
      </c>
      <c r="J20" s="65">
        <v>38255066</v>
      </c>
      <c r="K20" s="65">
        <v>0</v>
      </c>
      <c r="L20" s="65">
        <v>494200</v>
      </c>
      <c r="M20" s="65">
        <v>117919</v>
      </c>
      <c r="N20" s="65">
        <v>0</v>
      </c>
      <c r="O20" s="65">
        <v>0</v>
      </c>
      <c r="P20" s="65">
        <v>0</v>
      </c>
      <c r="Q20" s="65">
        <v>16610000</v>
      </c>
      <c r="R20" s="65">
        <v>1288000</v>
      </c>
      <c r="S20" s="65">
        <v>0</v>
      </c>
      <c r="T20" s="65">
        <v>0</v>
      </c>
      <c r="U20" s="65">
        <v>56765185</v>
      </c>
      <c r="V20" s="65">
        <v>967400</v>
      </c>
      <c r="W20" s="65">
        <v>0</v>
      </c>
      <c r="X20" s="65">
        <v>0</v>
      </c>
      <c r="Y20" s="65">
        <v>0</v>
      </c>
    </row>
    <row r="21" spans="1:25" ht="34.5" customHeight="1">
      <c r="A21" s="62">
        <v>9</v>
      </c>
      <c r="B21" s="63" t="s">
        <v>140</v>
      </c>
      <c r="C21" s="63" t="s">
        <v>141</v>
      </c>
      <c r="D21" s="64">
        <v>637</v>
      </c>
      <c r="E21" s="64">
        <v>0</v>
      </c>
      <c r="F21" s="65">
        <v>637</v>
      </c>
      <c r="G21" s="65">
        <v>72311159</v>
      </c>
      <c r="H21" s="65">
        <v>0</v>
      </c>
      <c r="I21" s="65">
        <v>0</v>
      </c>
      <c r="J21" s="65">
        <v>54793659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17517500</v>
      </c>
      <c r="R21" s="65">
        <v>0</v>
      </c>
      <c r="S21" s="65">
        <v>0</v>
      </c>
      <c r="T21" s="65">
        <v>0</v>
      </c>
      <c r="U21" s="65">
        <v>72311159</v>
      </c>
      <c r="V21" s="65">
        <v>678310</v>
      </c>
      <c r="W21" s="65">
        <v>0</v>
      </c>
      <c r="X21" s="65">
        <v>0</v>
      </c>
      <c r="Y21" s="65">
        <v>0</v>
      </c>
    </row>
    <row r="22" spans="1:25" ht="34.5" customHeight="1">
      <c r="A22" s="62">
        <v>10</v>
      </c>
      <c r="B22" s="63" t="s">
        <v>142</v>
      </c>
      <c r="C22" s="63" t="s">
        <v>143</v>
      </c>
      <c r="D22" s="64">
        <v>437</v>
      </c>
      <c r="E22" s="64">
        <v>0</v>
      </c>
      <c r="F22" s="65">
        <v>440</v>
      </c>
      <c r="G22" s="65">
        <v>32710380</v>
      </c>
      <c r="H22" s="65">
        <v>0</v>
      </c>
      <c r="I22" s="65">
        <v>0</v>
      </c>
      <c r="J22" s="65">
        <v>20539042</v>
      </c>
      <c r="K22" s="65">
        <v>0</v>
      </c>
      <c r="L22" s="65">
        <v>0</v>
      </c>
      <c r="M22" s="65">
        <v>13338</v>
      </c>
      <c r="N22" s="65">
        <v>0</v>
      </c>
      <c r="O22" s="65">
        <v>0</v>
      </c>
      <c r="P22" s="65">
        <v>0</v>
      </c>
      <c r="Q22" s="65">
        <v>11990000</v>
      </c>
      <c r="R22" s="65">
        <v>168000</v>
      </c>
      <c r="S22" s="65">
        <v>0</v>
      </c>
      <c r="T22" s="65">
        <v>0</v>
      </c>
      <c r="U22" s="65">
        <v>32710380</v>
      </c>
      <c r="V22" s="65">
        <v>380300</v>
      </c>
      <c r="W22" s="65">
        <v>0</v>
      </c>
      <c r="X22" s="65">
        <v>0</v>
      </c>
      <c r="Y22" s="65">
        <v>0</v>
      </c>
    </row>
    <row r="23" spans="1:25" ht="34.5" customHeight="1">
      <c r="A23" s="62">
        <v>11</v>
      </c>
      <c r="B23" s="63" t="s">
        <v>144</v>
      </c>
      <c r="C23" s="63" t="s">
        <v>145</v>
      </c>
      <c r="D23" s="64">
        <v>839</v>
      </c>
      <c r="E23" s="64">
        <v>0</v>
      </c>
      <c r="F23" s="65">
        <v>839</v>
      </c>
      <c r="G23" s="65">
        <v>67330768</v>
      </c>
      <c r="H23" s="65">
        <v>0</v>
      </c>
      <c r="I23" s="65">
        <v>0</v>
      </c>
      <c r="J23" s="65">
        <v>44258268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23072500</v>
      </c>
      <c r="R23" s="65">
        <v>0</v>
      </c>
      <c r="S23" s="65">
        <v>0</v>
      </c>
      <c r="T23" s="65">
        <v>0</v>
      </c>
      <c r="U23" s="65">
        <v>67330768</v>
      </c>
      <c r="V23" s="65">
        <v>2398634</v>
      </c>
      <c r="W23" s="65">
        <v>0</v>
      </c>
      <c r="X23" s="65">
        <v>0</v>
      </c>
      <c r="Y23" s="65">
        <v>0</v>
      </c>
    </row>
    <row r="24" spans="1:25" ht="34.5" customHeight="1">
      <c r="A24" s="62">
        <v>12</v>
      </c>
      <c r="B24" s="63" t="s">
        <v>146</v>
      </c>
      <c r="C24" s="63" t="s">
        <v>147</v>
      </c>
      <c r="D24" s="64">
        <v>622</v>
      </c>
      <c r="E24" s="64">
        <v>0</v>
      </c>
      <c r="F24" s="65">
        <v>622</v>
      </c>
      <c r="G24" s="65">
        <v>48827344</v>
      </c>
      <c r="H24" s="65">
        <v>0</v>
      </c>
      <c r="I24" s="65">
        <v>0</v>
      </c>
      <c r="J24" s="65">
        <v>31749844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17077500</v>
      </c>
      <c r="R24" s="65">
        <v>0</v>
      </c>
      <c r="S24" s="65">
        <v>0</v>
      </c>
      <c r="T24" s="65">
        <v>0</v>
      </c>
      <c r="U24" s="65">
        <v>48827344</v>
      </c>
      <c r="V24" s="65">
        <v>1033800</v>
      </c>
      <c r="W24" s="65">
        <v>0</v>
      </c>
      <c r="X24" s="65">
        <v>0</v>
      </c>
      <c r="Y24" s="65">
        <v>0</v>
      </c>
    </row>
    <row r="25" spans="1:25" ht="34.5" customHeight="1">
      <c r="A25" s="62">
        <v>13</v>
      </c>
      <c r="B25" s="63" t="s">
        <v>148</v>
      </c>
      <c r="C25" s="63" t="s">
        <v>149</v>
      </c>
      <c r="D25" s="64">
        <v>504</v>
      </c>
      <c r="E25" s="64">
        <v>0</v>
      </c>
      <c r="F25" s="65">
        <v>504</v>
      </c>
      <c r="G25" s="65">
        <v>42334621</v>
      </c>
      <c r="H25" s="65">
        <v>0</v>
      </c>
      <c r="I25" s="65">
        <v>0</v>
      </c>
      <c r="J25" s="65">
        <v>28474621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13860000</v>
      </c>
      <c r="R25" s="65">
        <v>0</v>
      </c>
      <c r="S25" s="65">
        <v>0</v>
      </c>
      <c r="T25" s="65">
        <v>0</v>
      </c>
      <c r="U25" s="65">
        <v>42334621</v>
      </c>
      <c r="V25" s="65">
        <v>1266530</v>
      </c>
      <c r="W25" s="65">
        <v>0</v>
      </c>
      <c r="X25" s="65">
        <v>0</v>
      </c>
      <c r="Y25" s="65">
        <v>0</v>
      </c>
    </row>
    <row r="26" spans="1:25" ht="34.5" customHeight="1">
      <c r="A26" s="62">
        <v>14</v>
      </c>
      <c r="B26" s="63" t="s">
        <v>150</v>
      </c>
      <c r="C26" s="63" t="s">
        <v>151</v>
      </c>
      <c r="D26" s="64">
        <v>508</v>
      </c>
      <c r="E26" s="64">
        <v>0</v>
      </c>
      <c r="F26" s="65">
        <v>508</v>
      </c>
      <c r="G26" s="65">
        <v>38775927</v>
      </c>
      <c r="H26" s="65">
        <v>0</v>
      </c>
      <c r="I26" s="65">
        <v>0</v>
      </c>
      <c r="J26" s="65">
        <v>24556727</v>
      </c>
      <c r="K26" s="65">
        <v>0</v>
      </c>
      <c r="L26" s="65">
        <v>249200</v>
      </c>
      <c r="M26" s="65">
        <v>0</v>
      </c>
      <c r="N26" s="65">
        <v>0</v>
      </c>
      <c r="O26" s="65">
        <v>0</v>
      </c>
      <c r="P26" s="65">
        <v>0</v>
      </c>
      <c r="Q26" s="65">
        <v>13970000</v>
      </c>
      <c r="R26" s="65">
        <v>0</v>
      </c>
      <c r="S26" s="65">
        <v>0</v>
      </c>
      <c r="T26" s="65">
        <v>0</v>
      </c>
      <c r="U26" s="65">
        <v>38775927</v>
      </c>
      <c r="V26" s="65">
        <v>347100</v>
      </c>
      <c r="W26" s="65">
        <v>0</v>
      </c>
      <c r="X26" s="65">
        <v>0</v>
      </c>
      <c r="Y26" s="65">
        <v>0</v>
      </c>
    </row>
    <row r="27" spans="1:25" ht="32.25" customHeight="1">
      <c r="A27" s="66" t="s">
        <v>152</v>
      </c>
      <c r="B27" s="67" t="s">
        <v>85</v>
      </c>
      <c r="C27" s="68"/>
      <c r="D27" s="64">
        <v>16350</v>
      </c>
      <c r="E27" s="64">
        <v>0</v>
      </c>
      <c r="F27" s="65">
        <v>14432</v>
      </c>
      <c r="G27" s="65">
        <v>4775444759.04</v>
      </c>
      <c r="H27" s="65">
        <v>382280676.31</v>
      </c>
      <c r="I27" s="65">
        <v>223904146.75999999</v>
      </c>
      <c r="J27" s="65">
        <v>1867961543.5599999</v>
      </c>
      <c r="K27" s="65">
        <v>1764000</v>
      </c>
      <c r="L27" s="65">
        <v>683290264.00999999</v>
      </c>
      <c r="M27" s="65">
        <v>22971813.940000001</v>
      </c>
      <c r="N27" s="65">
        <v>0</v>
      </c>
      <c r="O27" s="65">
        <v>7133316</v>
      </c>
      <c r="P27" s="65">
        <v>0</v>
      </c>
      <c r="Q27" s="65">
        <v>453585834.63999999</v>
      </c>
      <c r="R27" s="65">
        <v>1093701303.8199999</v>
      </c>
      <c r="S27" s="65">
        <v>38851860</v>
      </c>
      <c r="T27" s="65">
        <v>48339313.689999998</v>
      </c>
      <c r="U27" s="65">
        <v>4727105445.3500004</v>
      </c>
      <c r="V27" s="65">
        <v>84043822.549999997</v>
      </c>
      <c r="W27" s="65">
        <v>0</v>
      </c>
      <c r="X27" s="65">
        <v>0</v>
      </c>
      <c r="Y27" s="65">
        <v>0</v>
      </c>
    </row>
    <row r="28" spans="1:25" ht="15" customHeight="1">
      <c r="R28" s="218" t="s">
        <v>153</v>
      </c>
      <c r="S28" s="218"/>
      <c r="T28" s="218"/>
      <c r="U28" s="218"/>
      <c r="V28" s="218"/>
      <c r="W28" s="218"/>
      <c r="X28" s="218"/>
      <c r="Y28" s="218"/>
    </row>
    <row r="29" spans="1:25" ht="18" customHeight="1">
      <c r="A29" s="219" t="s">
        <v>154</v>
      </c>
      <c r="B29" s="219"/>
      <c r="C29" s="219"/>
      <c r="D29" s="219"/>
      <c r="E29" s="219"/>
      <c r="F29" s="219"/>
      <c r="G29" s="219"/>
      <c r="H29" s="219" t="s">
        <v>155</v>
      </c>
      <c r="I29" s="219"/>
      <c r="J29" s="219"/>
      <c r="K29" s="219"/>
      <c r="L29" s="219"/>
      <c r="M29" s="219"/>
      <c r="N29" s="219"/>
      <c r="O29" s="219"/>
      <c r="P29" s="219"/>
      <c r="Q29" s="219" t="s">
        <v>156</v>
      </c>
      <c r="R29" s="219"/>
      <c r="S29" s="219"/>
      <c r="T29" s="219"/>
      <c r="U29" s="219"/>
      <c r="V29" s="219"/>
      <c r="W29" s="219"/>
      <c r="X29" s="219"/>
      <c r="Y29" s="219"/>
    </row>
    <row r="30" spans="1:25" ht="18" customHeight="1">
      <c r="A30" s="220" t="s">
        <v>157</v>
      </c>
      <c r="B30" s="220"/>
      <c r="C30" s="220"/>
      <c r="D30" s="220"/>
      <c r="E30" s="220"/>
      <c r="F30" s="220"/>
      <c r="G30" s="220"/>
      <c r="H30" s="220" t="s">
        <v>157</v>
      </c>
      <c r="I30" s="220"/>
      <c r="J30" s="220"/>
      <c r="K30" s="220"/>
      <c r="L30" s="220"/>
      <c r="M30" s="220"/>
      <c r="N30" s="220"/>
      <c r="O30" s="220"/>
      <c r="P30" s="220"/>
      <c r="Q30" s="220" t="s">
        <v>158</v>
      </c>
      <c r="R30" s="220"/>
      <c r="S30" s="220"/>
      <c r="T30" s="220"/>
      <c r="U30" s="220"/>
      <c r="V30" s="220"/>
      <c r="W30" s="220"/>
      <c r="X30" s="220"/>
      <c r="Y30" s="220"/>
    </row>
    <row r="31" spans="1:25" ht="40.5" customHeight="1"/>
    <row r="32" spans="1:25" ht="16.5" customHeight="1">
      <c r="T32" s="215" t="s">
        <v>162</v>
      </c>
      <c r="U32" s="215"/>
      <c r="V32" s="215"/>
      <c r="W32" s="215"/>
      <c r="X32" s="216" t="s">
        <v>160</v>
      </c>
      <c r="Y32" s="216"/>
    </row>
  </sheetData>
  <mergeCells count="39">
    <mergeCell ref="G7:R7"/>
    <mergeCell ref="R8:R9"/>
    <mergeCell ref="A1:V1"/>
    <mergeCell ref="W1:Y1"/>
    <mergeCell ref="A2:Y2"/>
    <mergeCell ref="A4:Y4"/>
    <mergeCell ref="A5:Y5"/>
    <mergeCell ref="A6:Y6"/>
    <mergeCell ref="T8:T9"/>
    <mergeCell ref="U8:U9"/>
    <mergeCell ref="W8:W9"/>
    <mergeCell ref="X8:X9"/>
    <mergeCell ref="Y8:Y9"/>
    <mergeCell ref="A11:Y11"/>
    <mergeCell ref="S7:S9"/>
    <mergeCell ref="T7:U7"/>
    <mergeCell ref="V7:V9"/>
    <mergeCell ref="W7:Y7"/>
    <mergeCell ref="D8:D9"/>
    <mergeCell ref="E8:E9"/>
    <mergeCell ref="G8:G9"/>
    <mergeCell ref="H8:M8"/>
    <mergeCell ref="N8:P8"/>
    <mergeCell ref="Q8:Q9"/>
    <mergeCell ref="A7:A9"/>
    <mergeCell ref="B7:B9"/>
    <mergeCell ref="C7:C9"/>
    <mergeCell ref="D7:E7"/>
    <mergeCell ref="F7:F9"/>
    <mergeCell ref="T32:W32"/>
    <mergeCell ref="X32:Y32"/>
    <mergeCell ref="A13:Y13"/>
    <mergeCell ref="R28:Y28"/>
    <mergeCell ref="A29:G29"/>
    <mergeCell ref="H29:P29"/>
    <mergeCell ref="Q29:Y29"/>
    <mergeCell ref="A30:G30"/>
    <mergeCell ref="H30:P30"/>
    <mergeCell ref="Q30:Y30"/>
  </mergeCells>
  <pageMargins left="0.23" right="0.25" top="0.36" bottom="0.53" header="0" footer="0"/>
  <pageSetup paperSize="0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opLeftCell="E5" workbookViewId="0">
      <selection activeCell="V15" sqref="V15:V26"/>
    </sheetView>
  </sheetViews>
  <sheetFormatPr defaultColWidth="8.75" defaultRowHeight="15"/>
  <cols>
    <col min="1" max="1" width="5.75" style="60" customWidth="1"/>
    <col min="2" max="2" width="9.625" style="60" customWidth="1"/>
    <col min="3" max="3" width="5.75" style="60" customWidth="1"/>
    <col min="4" max="4" width="7.25" style="60" customWidth="1"/>
    <col min="5" max="5" width="5.875" style="60" customWidth="1"/>
    <col min="6" max="6" width="6.75" style="60" customWidth="1"/>
    <col min="7" max="7" width="9.875" style="60" customWidth="1"/>
    <col min="8" max="8" width="8.625" style="60" customWidth="1"/>
    <col min="9" max="9" width="8.25" style="60" customWidth="1"/>
    <col min="10" max="10" width="9.5" style="60" customWidth="1"/>
    <col min="11" max="12" width="8.375" style="60" customWidth="1"/>
    <col min="13" max="13" width="8.625" style="60" customWidth="1"/>
    <col min="14" max="14" width="10.25" style="60" customWidth="1"/>
    <col min="15" max="15" width="9" style="60" customWidth="1"/>
    <col min="16" max="16" width="8" style="60" customWidth="1"/>
    <col min="17" max="17" width="9.625" style="60" customWidth="1"/>
    <col min="18" max="18" width="8.875" style="60" customWidth="1"/>
    <col min="19" max="19" width="10.75" style="60" customWidth="1"/>
    <col min="20" max="20" width="12.25" style="60" customWidth="1"/>
    <col min="21" max="21" width="10.25" style="60" customWidth="1"/>
    <col min="22" max="22" width="9.625" style="60" customWidth="1"/>
    <col min="23" max="23" width="7.75" style="60" customWidth="1"/>
    <col min="24" max="24" width="6.25" style="60" customWidth="1"/>
    <col min="25" max="25" width="10.25" style="60" customWidth="1"/>
    <col min="26" max="16384" width="8.75" style="60"/>
  </cols>
  <sheetData>
    <row r="1" spans="1:25" ht="17.25" customHeight="1">
      <c r="A1" s="224" t="s">
        <v>67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5" t="s">
        <v>68</v>
      </c>
      <c r="X1" s="225"/>
      <c r="Y1" s="225"/>
    </row>
    <row r="2" spans="1:25" ht="17.25" customHeight="1">
      <c r="A2" s="224" t="s">
        <v>69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</row>
    <row r="3" spans="1:25" ht="15.75" customHeight="1"/>
    <row r="4" spans="1:25" ht="21" customHeight="1">
      <c r="A4" s="226" t="s">
        <v>70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</row>
    <row r="5" spans="1:25" ht="16.5" customHeight="1">
      <c r="A5" s="227" t="s">
        <v>71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</row>
    <row r="6" spans="1:25" ht="17.25" customHeight="1">
      <c r="A6" s="228" t="s">
        <v>72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</row>
    <row r="7" spans="1:25" ht="26.25" customHeight="1">
      <c r="A7" s="223" t="s">
        <v>73</v>
      </c>
      <c r="B7" s="221" t="s">
        <v>74</v>
      </c>
      <c r="C7" s="221" t="s">
        <v>75</v>
      </c>
      <c r="D7" s="221" t="s">
        <v>76</v>
      </c>
      <c r="E7" s="221"/>
      <c r="F7" s="221" t="s">
        <v>77</v>
      </c>
      <c r="G7" s="221" t="s">
        <v>78</v>
      </c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 t="s">
        <v>79</v>
      </c>
      <c r="T7" s="221" t="s">
        <v>80</v>
      </c>
      <c r="U7" s="221"/>
      <c r="V7" s="221" t="s">
        <v>81</v>
      </c>
      <c r="W7" s="221" t="s">
        <v>82</v>
      </c>
      <c r="X7" s="221"/>
      <c r="Y7" s="221"/>
    </row>
    <row r="8" spans="1:25" ht="27.75" customHeight="1">
      <c r="A8" s="223"/>
      <c r="B8" s="221"/>
      <c r="C8" s="221"/>
      <c r="D8" s="222" t="s">
        <v>83</v>
      </c>
      <c r="E8" s="222" t="s">
        <v>84</v>
      </c>
      <c r="F8" s="221"/>
      <c r="G8" s="222" t="s">
        <v>85</v>
      </c>
      <c r="H8" s="222" t="s">
        <v>86</v>
      </c>
      <c r="I8" s="222"/>
      <c r="J8" s="222"/>
      <c r="K8" s="222"/>
      <c r="L8" s="222"/>
      <c r="M8" s="222"/>
      <c r="N8" s="222" t="s">
        <v>87</v>
      </c>
      <c r="O8" s="222"/>
      <c r="P8" s="222"/>
      <c r="Q8" s="222" t="s">
        <v>41</v>
      </c>
      <c r="R8" s="222" t="s">
        <v>88</v>
      </c>
      <c r="S8" s="221"/>
      <c r="T8" s="222" t="s">
        <v>89</v>
      </c>
      <c r="U8" s="222" t="s">
        <v>90</v>
      </c>
      <c r="V8" s="221"/>
      <c r="W8" s="222" t="s">
        <v>76</v>
      </c>
      <c r="X8" s="222" t="s">
        <v>91</v>
      </c>
      <c r="Y8" s="222" t="s">
        <v>89</v>
      </c>
    </row>
    <row r="9" spans="1:25" ht="28.5" customHeight="1">
      <c r="A9" s="223"/>
      <c r="B9" s="221"/>
      <c r="C9" s="221"/>
      <c r="D9" s="222"/>
      <c r="E9" s="222"/>
      <c r="F9" s="221"/>
      <c r="G9" s="222"/>
      <c r="H9" s="61" t="s">
        <v>92</v>
      </c>
      <c r="I9" s="61" t="s">
        <v>93</v>
      </c>
      <c r="J9" s="61" t="s">
        <v>94</v>
      </c>
      <c r="K9" s="61" t="s">
        <v>95</v>
      </c>
      <c r="L9" s="61" t="s">
        <v>96</v>
      </c>
      <c r="M9" s="61" t="s">
        <v>97</v>
      </c>
      <c r="N9" s="61" t="s">
        <v>98</v>
      </c>
      <c r="O9" s="61" t="s">
        <v>94</v>
      </c>
      <c r="P9" s="61" t="s">
        <v>97</v>
      </c>
      <c r="Q9" s="222"/>
      <c r="R9" s="222"/>
      <c r="S9" s="221"/>
      <c r="T9" s="222"/>
      <c r="U9" s="222"/>
      <c r="V9" s="221"/>
      <c r="W9" s="222"/>
      <c r="X9" s="222"/>
      <c r="Y9" s="222"/>
    </row>
    <row r="10" spans="1:25" ht="21" customHeight="1">
      <c r="A10" s="62" t="s">
        <v>99</v>
      </c>
      <c r="B10" s="61" t="s">
        <v>100</v>
      </c>
      <c r="C10" s="61" t="s">
        <v>101</v>
      </c>
      <c r="D10" s="61" t="s">
        <v>102</v>
      </c>
      <c r="E10" s="61" t="s">
        <v>103</v>
      </c>
      <c r="F10" s="61" t="s">
        <v>104</v>
      </c>
      <c r="G10" s="61" t="s">
        <v>105</v>
      </c>
      <c r="H10" s="61" t="s">
        <v>106</v>
      </c>
      <c r="I10" s="61" t="s">
        <v>107</v>
      </c>
      <c r="J10" s="61" t="s">
        <v>108</v>
      </c>
      <c r="K10" s="61" t="s">
        <v>109</v>
      </c>
      <c r="L10" s="61" t="s">
        <v>110</v>
      </c>
      <c r="M10" s="61" t="s">
        <v>111</v>
      </c>
      <c r="N10" s="61" t="s">
        <v>112</v>
      </c>
      <c r="O10" s="61" t="s">
        <v>113</v>
      </c>
      <c r="P10" s="61" t="s">
        <v>114</v>
      </c>
      <c r="Q10" s="61" t="s">
        <v>115</v>
      </c>
      <c r="R10" s="61" t="s">
        <v>116</v>
      </c>
      <c r="S10" s="61" t="s">
        <v>117</v>
      </c>
      <c r="T10" s="61" t="s">
        <v>118</v>
      </c>
      <c r="U10" s="61" t="s">
        <v>119</v>
      </c>
      <c r="V10" s="61" t="s">
        <v>120</v>
      </c>
      <c r="W10" s="61" t="s">
        <v>121</v>
      </c>
      <c r="X10" s="61" t="s">
        <v>122</v>
      </c>
      <c r="Y10" s="61" t="s">
        <v>123</v>
      </c>
    </row>
    <row r="11" spans="1:25" ht="18" customHeight="1">
      <c r="A11" s="217" t="s">
        <v>124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</row>
    <row r="12" spans="1:25" ht="36" customHeight="1">
      <c r="A12" s="62">
        <v>1</v>
      </c>
      <c r="B12" s="63" t="s">
        <v>125</v>
      </c>
      <c r="C12" s="63" t="s">
        <v>126</v>
      </c>
      <c r="D12" s="64">
        <v>1892</v>
      </c>
      <c r="E12" s="64">
        <v>0</v>
      </c>
      <c r="F12" s="65">
        <v>9296</v>
      </c>
      <c r="G12" s="65">
        <v>2922724822.0999999</v>
      </c>
      <c r="H12" s="65">
        <v>133136100</v>
      </c>
      <c r="I12" s="65">
        <v>59660800</v>
      </c>
      <c r="J12" s="65">
        <v>576380171.10000002</v>
      </c>
      <c r="K12" s="65">
        <v>1764000</v>
      </c>
      <c r="L12" s="65">
        <v>784315200</v>
      </c>
      <c r="M12" s="65">
        <v>26808095</v>
      </c>
      <c r="N12" s="65">
        <v>0</v>
      </c>
      <c r="O12" s="65">
        <v>12130146</v>
      </c>
      <c r="P12" s="65">
        <v>0</v>
      </c>
      <c r="Q12" s="65">
        <v>32314750</v>
      </c>
      <c r="R12" s="65">
        <v>1252583080</v>
      </c>
      <c r="S12" s="65">
        <v>43632480</v>
      </c>
      <c r="T12" s="65">
        <v>38432506.189999998</v>
      </c>
      <c r="U12" s="65">
        <v>2884292315.9099998</v>
      </c>
      <c r="V12" s="65">
        <v>34103780.799999997</v>
      </c>
      <c r="W12" s="65">
        <v>0</v>
      </c>
      <c r="X12" s="65">
        <v>0</v>
      </c>
      <c r="Y12" s="65">
        <v>0</v>
      </c>
    </row>
    <row r="13" spans="1:25" ht="18" customHeight="1">
      <c r="A13" s="217" t="s">
        <v>127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</row>
    <row r="14" spans="1:25" ht="36" customHeight="1">
      <c r="A14" s="62">
        <v>2</v>
      </c>
      <c r="B14" s="63" t="s">
        <v>125</v>
      </c>
      <c r="C14" s="63" t="s">
        <v>126</v>
      </c>
      <c r="D14" s="64">
        <v>8015</v>
      </c>
      <c r="E14" s="64">
        <v>0</v>
      </c>
      <c r="F14" s="65">
        <v>0</v>
      </c>
      <c r="G14" s="65">
        <v>1553016270.2</v>
      </c>
      <c r="H14" s="65">
        <v>247264600</v>
      </c>
      <c r="I14" s="65">
        <v>168837700</v>
      </c>
      <c r="J14" s="65">
        <v>836036370.20000005</v>
      </c>
      <c r="K14" s="65">
        <v>0</v>
      </c>
      <c r="L14" s="65">
        <v>56475000</v>
      </c>
      <c r="M14" s="65">
        <v>0</v>
      </c>
      <c r="N14" s="65">
        <v>0</v>
      </c>
      <c r="O14" s="65">
        <v>0</v>
      </c>
      <c r="P14" s="65">
        <v>0</v>
      </c>
      <c r="Q14" s="65">
        <v>244402600</v>
      </c>
      <c r="R14" s="65">
        <v>0</v>
      </c>
      <c r="S14" s="65">
        <v>0</v>
      </c>
      <c r="T14" s="65">
        <v>9299761.9499999993</v>
      </c>
      <c r="U14" s="65">
        <v>1543716508.25</v>
      </c>
      <c r="V14" s="65">
        <v>6422480</v>
      </c>
      <c r="W14" s="65">
        <v>0</v>
      </c>
      <c r="X14" s="65">
        <v>0</v>
      </c>
      <c r="Y14" s="65">
        <v>0</v>
      </c>
    </row>
    <row r="15" spans="1:25" ht="34.5" customHeight="1">
      <c r="A15" s="62">
        <v>3</v>
      </c>
      <c r="B15" s="63" t="s">
        <v>128</v>
      </c>
      <c r="C15" s="63" t="s">
        <v>129</v>
      </c>
      <c r="D15" s="64">
        <v>425</v>
      </c>
      <c r="E15" s="64">
        <v>0</v>
      </c>
      <c r="F15" s="65">
        <v>425</v>
      </c>
      <c r="G15" s="65">
        <v>43468161</v>
      </c>
      <c r="H15" s="65">
        <v>0</v>
      </c>
      <c r="I15" s="65">
        <v>0</v>
      </c>
      <c r="J15" s="65">
        <v>31780661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11687500</v>
      </c>
      <c r="R15" s="65">
        <v>0</v>
      </c>
      <c r="S15" s="65">
        <v>0</v>
      </c>
      <c r="T15" s="65">
        <v>0</v>
      </c>
      <c r="U15" s="65">
        <v>43468161</v>
      </c>
      <c r="V15" s="65">
        <v>283000</v>
      </c>
      <c r="W15" s="65">
        <v>0</v>
      </c>
      <c r="X15" s="65">
        <v>0</v>
      </c>
      <c r="Y15" s="65">
        <v>0</v>
      </c>
    </row>
    <row r="16" spans="1:25" ht="34.5" customHeight="1">
      <c r="A16" s="62">
        <v>4</v>
      </c>
      <c r="B16" s="63" t="s">
        <v>130</v>
      </c>
      <c r="C16" s="63" t="s">
        <v>131</v>
      </c>
      <c r="D16" s="64">
        <v>771</v>
      </c>
      <c r="E16" s="64">
        <v>0</v>
      </c>
      <c r="F16" s="65">
        <v>782</v>
      </c>
      <c r="G16" s="65">
        <v>58005679</v>
      </c>
      <c r="H16" s="65">
        <v>0</v>
      </c>
      <c r="I16" s="65">
        <v>0</v>
      </c>
      <c r="J16" s="65">
        <v>34956661</v>
      </c>
      <c r="K16" s="65">
        <v>0</v>
      </c>
      <c r="L16" s="65">
        <v>1438570</v>
      </c>
      <c r="M16" s="65">
        <v>13948</v>
      </c>
      <c r="N16" s="65">
        <v>0</v>
      </c>
      <c r="O16" s="65">
        <v>0</v>
      </c>
      <c r="P16" s="65">
        <v>0</v>
      </c>
      <c r="Q16" s="65">
        <v>21092500</v>
      </c>
      <c r="R16" s="65">
        <v>504000</v>
      </c>
      <c r="S16" s="65">
        <v>0</v>
      </c>
      <c r="T16" s="65">
        <v>0</v>
      </c>
      <c r="U16" s="65">
        <v>58005679</v>
      </c>
      <c r="V16" s="65">
        <v>413700</v>
      </c>
      <c r="W16" s="65">
        <v>0</v>
      </c>
      <c r="X16" s="65">
        <v>0</v>
      </c>
      <c r="Y16" s="65">
        <v>0</v>
      </c>
    </row>
    <row r="17" spans="1:25" ht="34.5" customHeight="1">
      <c r="A17" s="62">
        <v>5</v>
      </c>
      <c r="B17" s="63" t="s">
        <v>132</v>
      </c>
      <c r="C17" s="63" t="s">
        <v>133</v>
      </c>
      <c r="D17" s="64">
        <v>385</v>
      </c>
      <c r="E17" s="64">
        <v>0</v>
      </c>
      <c r="F17" s="65">
        <v>385</v>
      </c>
      <c r="G17" s="65">
        <v>29412553</v>
      </c>
      <c r="H17" s="65">
        <v>0</v>
      </c>
      <c r="I17" s="65">
        <v>0</v>
      </c>
      <c r="J17" s="65">
        <v>18825053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10587500</v>
      </c>
      <c r="R17" s="65">
        <v>0</v>
      </c>
      <c r="S17" s="65">
        <v>0</v>
      </c>
      <c r="T17" s="65">
        <v>0</v>
      </c>
      <c r="U17" s="65">
        <v>29412553</v>
      </c>
      <c r="V17" s="65">
        <v>389300</v>
      </c>
      <c r="W17" s="65">
        <v>0</v>
      </c>
      <c r="X17" s="65">
        <v>0</v>
      </c>
      <c r="Y17" s="65">
        <v>0</v>
      </c>
    </row>
    <row r="18" spans="1:25" ht="34.5" customHeight="1">
      <c r="A18" s="62">
        <v>6</v>
      </c>
      <c r="B18" s="63" t="s">
        <v>134</v>
      </c>
      <c r="C18" s="63" t="s">
        <v>135</v>
      </c>
      <c r="D18" s="64">
        <v>618</v>
      </c>
      <c r="E18" s="64">
        <v>0</v>
      </c>
      <c r="F18" s="65">
        <v>624</v>
      </c>
      <c r="G18" s="65">
        <v>54661440</v>
      </c>
      <c r="H18" s="65">
        <v>0</v>
      </c>
      <c r="I18" s="65">
        <v>0</v>
      </c>
      <c r="J18" s="65">
        <v>35506140</v>
      </c>
      <c r="K18" s="65">
        <v>0</v>
      </c>
      <c r="L18" s="65">
        <v>1532300</v>
      </c>
      <c r="M18" s="65">
        <v>0</v>
      </c>
      <c r="N18" s="65">
        <v>0</v>
      </c>
      <c r="O18" s="65">
        <v>0</v>
      </c>
      <c r="P18" s="65">
        <v>0</v>
      </c>
      <c r="Q18" s="65">
        <v>16335000</v>
      </c>
      <c r="R18" s="65">
        <v>1288000</v>
      </c>
      <c r="S18" s="65">
        <v>0</v>
      </c>
      <c r="T18" s="65">
        <v>0</v>
      </c>
      <c r="U18" s="65">
        <v>54661440</v>
      </c>
      <c r="V18" s="65">
        <v>254620</v>
      </c>
      <c r="W18" s="65">
        <v>0</v>
      </c>
      <c r="X18" s="65">
        <v>0</v>
      </c>
      <c r="Y18" s="65">
        <v>0</v>
      </c>
    </row>
    <row r="19" spans="1:25" ht="34.5" customHeight="1">
      <c r="A19" s="62">
        <v>7</v>
      </c>
      <c r="B19" s="63" t="s">
        <v>136</v>
      </c>
      <c r="C19" s="63" t="s">
        <v>137</v>
      </c>
      <c r="D19" s="64">
        <v>597</v>
      </c>
      <c r="E19" s="64">
        <v>0</v>
      </c>
      <c r="F19" s="65">
        <v>443</v>
      </c>
      <c r="G19" s="65">
        <v>54898488</v>
      </c>
      <c r="H19" s="65">
        <v>0</v>
      </c>
      <c r="I19" s="65">
        <v>0</v>
      </c>
      <c r="J19" s="65">
        <v>37573088</v>
      </c>
      <c r="K19" s="65">
        <v>0</v>
      </c>
      <c r="L19" s="65">
        <v>988400</v>
      </c>
      <c r="M19" s="65">
        <v>0</v>
      </c>
      <c r="N19" s="65">
        <v>0</v>
      </c>
      <c r="O19" s="65">
        <v>0</v>
      </c>
      <c r="P19" s="65">
        <v>0</v>
      </c>
      <c r="Q19" s="65">
        <v>16225000</v>
      </c>
      <c r="R19" s="65">
        <v>112000</v>
      </c>
      <c r="S19" s="65">
        <v>0</v>
      </c>
      <c r="T19" s="65">
        <v>0</v>
      </c>
      <c r="U19" s="65">
        <v>54898488</v>
      </c>
      <c r="V19" s="65">
        <v>436600</v>
      </c>
      <c r="W19" s="65">
        <v>0</v>
      </c>
      <c r="X19" s="65">
        <v>0</v>
      </c>
      <c r="Y19" s="65">
        <v>0</v>
      </c>
    </row>
    <row r="20" spans="1:25" ht="34.5" customHeight="1">
      <c r="A20" s="62">
        <v>8</v>
      </c>
      <c r="B20" s="63" t="s">
        <v>138</v>
      </c>
      <c r="C20" s="63" t="s">
        <v>139</v>
      </c>
      <c r="D20" s="64">
        <v>697</v>
      </c>
      <c r="E20" s="64">
        <v>0</v>
      </c>
      <c r="F20" s="65">
        <v>726</v>
      </c>
      <c r="G20" s="65">
        <v>61557929</v>
      </c>
      <c r="H20" s="65">
        <v>0</v>
      </c>
      <c r="I20" s="65">
        <v>0</v>
      </c>
      <c r="J20" s="65">
        <v>41076526</v>
      </c>
      <c r="K20" s="65">
        <v>0</v>
      </c>
      <c r="L20" s="65">
        <v>124600</v>
      </c>
      <c r="M20" s="65">
        <v>121303</v>
      </c>
      <c r="N20" s="65">
        <v>0</v>
      </c>
      <c r="O20" s="65">
        <v>0</v>
      </c>
      <c r="P20" s="65">
        <v>0</v>
      </c>
      <c r="Q20" s="65">
        <v>18947500</v>
      </c>
      <c r="R20" s="65">
        <v>1288000</v>
      </c>
      <c r="S20" s="65">
        <v>0</v>
      </c>
      <c r="T20" s="65">
        <v>0</v>
      </c>
      <c r="U20" s="65">
        <v>61557929</v>
      </c>
      <c r="V20" s="65">
        <v>1992100</v>
      </c>
      <c r="W20" s="65">
        <v>0</v>
      </c>
      <c r="X20" s="65">
        <v>0</v>
      </c>
      <c r="Y20" s="65">
        <v>0</v>
      </c>
    </row>
    <row r="21" spans="1:25" ht="34.5" customHeight="1">
      <c r="A21" s="62">
        <v>9</v>
      </c>
      <c r="B21" s="63" t="s">
        <v>140</v>
      </c>
      <c r="C21" s="63" t="s">
        <v>141</v>
      </c>
      <c r="D21" s="64">
        <v>715</v>
      </c>
      <c r="E21" s="64">
        <v>0</v>
      </c>
      <c r="F21" s="65">
        <v>715</v>
      </c>
      <c r="G21" s="65">
        <v>72430246</v>
      </c>
      <c r="H21" s="65">
        <v>0</v>
      </c>
      <c r="I21" s="65">
        <v>0</v>
      </c>
      <c r="J21" s="65">
        <v>52767746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19662500</v>
      </c>
      <c r="R21" s="65">
        <v>0</v>
      </c>
      <c r="S21" s="65">
        <v>0</v>
      </c>
      <c r="T21" s="65">
        <v>0</v>
      </c>
      <c r="U21" s="65">
        <v>72430246</v>
      </c>
      <c r="V21" s="65">
        <v>192600</v>
      </c>
      <c r="W21" s="65">
        <v>0</v>
      </c>
      <c r="X21" s="65">
        <v>0</v>
      </c>
      <c r="Y21" s="65">
        <v>0</v>
      </c>
    </row>
    <row r="22" spans="1:25" ht="34.5" customHeight="1">
      <c r="A22" s="62">
        <v>10</v>
      </c>
      <c r="B22" s="63" t="s">
        <v>142</v>
      </c>
      <c r="C22" s="63" t="s">
        <v>143</v>
      </c>
      <c r="D22" s="64">
        <v>616</v>
      </c>
      <c r="E22" s="64">
        <v>0</v>
      </c>
      <c r="F22" s="65">
        <v>616</v>
      </c>
      <c r="G22" s="65">
        <v>45870313.399999999</v>
      </c>
      <c r="H22" s="65">
        <v>0</v>
      </c>
      <c r="I22" s="65">
        <v>0</v>
      </c>
      <c r="J22" s="65">
        <v>28957813.399999999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16912500</v>
      </c>
      <c r="R22" s="65">
        <v>0</v>
      </c>
      <c r="S22" s="65">
        <v>0</v>
      </c>
      <c r="T22" s="65">
        <v>0</v>
      </c>
      <c r="U22" s="65">
        <v>45870313.399999999</v>
      </c>
      <c r="V22" s="65">
        <v>323400</v>
      </c>
      <c r="W22" s="65">
        <v>0</v>
      </c>
      <c r="X22" s="65">
        <v>0</v>
      </c>
      <c r="Y22" s="65">
        <v>0</v>
      </c>
    </row>
    <row r="23" spans="1:25" ht="34.5" customHeight="1">
      <c r="A23" s="62">
        <v>11</v>
      </c>
      <c r="B23" s="63" t="s">
        <v>144</v>
      </c>
      <c r="C23" s="63" t="s">
        <v>145</v>
      </c>
      <c r="D23" s="64">
        <v>867</v>
      </c>
      <c r="E23" s="64">
        <v>0</v>
      </c>
      <c r="F23" s="65">
        <v>867</v>
      </c>
      <c r="G23" s="65">
        <v>74147021</v>
      </c>
      <c r="H23" s="65">
        <v>0</v>
      </c>
      <c r="I23" s="65">
        <v>0</v>
      </c>
      <c r="J23" s="65">
        <v>49781821</v>
      </c>
      <c r="K23" s="65">
        <v>0</v>
      </c>
      <c r="L23" s="65">
        <v>494200</v>
      </c>
      <c r="M23" s="65">
        <v>0</v>
      </c>
      <c r="N23" s="65">
        <v>0</v>
      </c>
      <c r="O23" s="65">
        <v>0</v>
      </c>
      <c r="P23" s="65">
        <v>0</v>
      </c>
      <c r="Q23" s="65">
        <v>23815000</v>
      </c>
      <c r="R23" s="65">
        <v>56000</v>
      </c>
      <c r="S23" s="65">
        <v>0</v>
      </c>
      <c r="T23" s="65">
        <v>0</v>
      </c>
      <c r="U23" s="65">
        <v>74147021</v>
      </c>
      <c r="V23" s="65">
        <v>2810300</v>
      </c>
      <c r="W23" s="65">
        <v>0</v>
      </c>
      <c r="X23" s="65">
        <v>0</v>
      </c>
      <c r="Y23" s="65">
        <v>0</v>
      </c>
    </row>
    <row r="24" spans="1:25" ht="34.5" customHeight="1">
      <c r="A24" s="62">
        <v>12</v>
      </c>
      <c r="B24" s="63" t="s">
        <v>146</v>
      </c>
      <c r="C24" s="63" t="s">
        <v>147</v>
      </c>
      <c r="D24" s="64">
        <v>686</v>
      </c>
      <c r="E24" s="64">
        <v>0</v>
      </c>
      <c r="F24" s="65">
        <v>686</v>
      </c>
      <c r="G24" s="65">
        <v>55535171</v>
      </c>
      <c r="H24" s="65">
        <v>0</v>
      </c>
      <c r="I24" s="65">
        <v>0</v>
      </c>
      <c r="J24" s="65">
        <v>36670171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18865000</v>
      </c>
      <c r="R24" s="65">
        <v>0</v>
      </c>
      <c r="S24" s="65">
        <v>0</v>
      </c>
      <c r="T24" s="65">
        <v>0</v>
      </c>
      <c r="U24" s="65">
        <v>55535171</v>
      </c>
      <c r="V24" s="65">
        <v>2021600</v>
      </c>
      <c r="W24" s="65">
        <v>0</v>
      </c>
      <c r="X24" s="65">
        <v>0</v>
      </c>
      <c r="Y24" s="65">
        <v>0</v>
      </c>
    </row>
    <row r="25" spans="1:25" ht="34.5" customHeight="1">
      <c r="A25" s="62">
        <v>13</v>
      </c>
      <c r="B25" s="63" t="s">
        <v>148</v>
      </c>
      <c r="C25" s="63" t="s">
        <v>149</v>
      </c>
      <c r="D25" s="64">
        <v>421</v>
      </c>
      <c r="E25" s="64">
        <v>0</v>
      </c>
      <c r="F25" s="65">
        <v>421</v>
      </c>
      <c r="G25" s="65">
        <v>32656131</v>
      </c>
      <c r="H25" s="65">
        <v>0</v>
      </c>
      <c r="I25" s="65">
        <v>0</v>
      </c>
      <c r="J25" s="65">
        <v>21078631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11577500</v>
      </c>
      <c r="R25" s="65">
        <v>0</v>
      </c>
      <c r="S25" s="65">
        <v>0</v>
      </c>
      <c r="T25" s="65">
        <v>0</v>
      </c>
      <c r="U25" s="65">
        <v>32656131</v>
      </c>
      <c r="V25" s="65">
        <v>655860</v>
      </c>
      <c r="W25" s="65">
        <v>0</v>
      </c>
      <c r="X25" s="65">
        <v>0</v>
      </c>
      <c r="Y25" s="65">
        <v>0</v>
      </c>
    </row>
    <row r="26" spans="1:25" ht="34.5" customHeight="1">
      <c r="A26" s="62">
        <v>14</v>
      </c>
      <c r="B26" s="63" t="s">
        <v>150</v>
      </c>
      <c r="C26" s="63" t="s">
        <v>151</v>
      </c>
      <c r="D26" s="64">
        <v>444</v>
      </c>
      <c r="E26" s="64">
        <v>0</v>
      </c>
      <c r="F26" s="65">
        <v>445</v>
      </c>
      <c r="G26" s="65">
        <v>30603019</v>
      </c>
      <c r="H26" s="65">
        <v>0</v>
      </c>
      <c r="I26" s="65">
        <v>0</v>
      </c>
      <c r="J26" s="65">
        <v>17621119</v>
      </c>
      <c r="K26" s="65">
        <v>0</v>
      </c>
      <c r="L26" s="65">
        <v>743400</v>
      </c>
      <c r="M26" s="65">
        <v>0</v>
      </c>
      <c r="N26" s="65">
        <v>0</v>
      </c>
      <c r="O26" s="65">
        <v>0</v>
      </c>
      <c r="P26" s="65">
        <v>0</v>
      </c>
      <c r="Q26" s="65">
        <v>12182500</v>
      </c>
      <c r="R26" s="65">
        <v>56000</v>
      </c>
      <c r="S26" s="65">
        <v>0</v>
      </c>
      <c r="T26" s="65">
        <v>0</v>
      </c>
      <c r="U26" s="65">
        <v>30603019</v>
      </c>
      <c r="V26" s="65">
        <v>119100</v>
      </c>
      <c r="W26" s="65">
        <v>0</v>
      </c>
      <c r="X26" s="65">
        <v>0</v>
      </c>
      <c r="Y26" s="65">
        <v>0</v>
      </c>
    </row>
    <row r="27" spans="1:25" ht="32.25" customHeight="1">
      <c r="A27" s="66" t="s">
        <v>152</v>
      </c>
      <c r="B27" s="67" t="s">
        <v>85</v>
      </c>
      <c r="C27" s="68"/>
      <c r="D27" s="64">
        <v>17149</v>
      </c>
      <c r="E27" s="64">
        <v>0</v>
      </c>
      <c r="F27" s="65">
        <v>16431</v>
      </c>
      <c r="G27" s="65">
        <v>5088987243.6999998</v>
      </c>
      <c r="H27" s="65">
        <v>380400700</v>
      </c>
      <c r="I27" s="65">
        <v>228498500</v>
      </c>
      <c r="J27" s="65">
        <v>1819011971.7</v>
      </c>
      <c r="K27" s="65">
        <v>1764000</v>
      </c>
      <c r="L27" s="65">
        <v>846111670</v>
      </c>
      <c r="M27" s="65">
        <v>26943346</v>
      </c>
      <c r="N27" s="65">
        <v>0</v>
      </c>
      <c r="O27" s="65">
        <v>12130146</v>
      </c>
      <c r="P27" s="65">
        <v>0</v>
      </c>
      <c r="Q27" s="65">
        <v>474607350</v>
      </c>
      <c r="R27" s="65">
        <v>1255887080</v>
      </c>
      <c r="S27" s="65">
        <v>43632480</v>
      </c>
      <c r="T27" s="65">
        <v>47732268.140000001</v>
      </c>
      <c r="U27" s="65">
        <v>5041254975.5600004</v>
      </c>
      <c r="V27" s="65">
        <v>50418440.799999997</v>
      </c>
      <c r="W27" s="65">
        <v>0</v>
      </c>
      <c r="X27" s="65">
        <v>0</v>
      </c>
      <c r="Y27" s="65">
        <v>0</v>
      </c>
    </row>
    <row r="28" spans="1:25" ht="15" customHeight="1">
      <c r="R28" s="218" t="s">
        <v>153</v>
      </c>
      <c r="S28" s="218"/>
      <c r="T28" s="218"/>
      <c r="U28" s="218"/>
      <c r="V28" s="218"/>
      <c r="W28" s="218"/>
      <c r="X28" s="218"/>
      <c r="Y28" s="218"/>
    </row>
    <row r="29" spans="1:25" ht="18" customHeight="1">
      <c r="A29" s="219" t="s">
        <v>154</v>
      </c>
      <c r="B29" s="219"/>
      <c r="C29" s="219"/>
      <c r="D29" s="219"/>
      <c r="E29" s="219"/>
      <c r="F29" s="219"/>
      <c r="G29" s="219"/>
      <c r="H29" s="219" t="s">
        <v>155</v>
      </c>
      <c r="I29" s="219"/>
      <c r="J29" s="219"/>
      <c r="K29" s="219"/>
      <c r="L29" s="219"/>
      <c r="M29" s="219"/>
      <c r="N29" s="219"/>
      <c r="O29" s="219"/>
      <c r="P29" s="219"/>
      <c r="Q29" s="219" t="s">
        <v>156</v>
      </c>
      <c r="R29" s="219"/>
      <c r="S29" s="219"/>
      <c r="T29" s="219"/>
      <c r="U29" s="219"/>
      <c r="V29" s="219"/>
      <c r="W29" s="219"/>
      <c r="X29" s="219"/>
      <c r="Y29" s="219"/>
    </row>
    <row r="30" spans="1:25" ht="18" customHeight="1">
      <c r="A30" s="220" t="s">
        <v>157</v>
      </c>
      <c r="B30" s="220"/>
      <c r="C30" s="220"/>
      <c r="D30" s="220"/>
      <c r="E30" s="220"/>
      <c r="F30" s="220"/>
      <c r="G30" s="220"/>
      <c r="H30" s="220" t="s">
        <v>157</v>
      </c>
      <c r="I30" s="220"/>
      <c r="J30" s="220"/>
      <c r="K30" s="220"/>
      <c r="L30" s="220"/>
      <c r="M30" s="220"/>
      <c r="N30" s="220"/>
      <c r="O30" s="220"/>
      <c r="P30" s="220"/>
      <c r="Q30" s="220" t="s">
        <v>158</v>
      </c>
      <c r="R30" s="220"/>
      <c r="S30" s="220"/>
      <c r="T30" s="220"/>
      <c r="U30" s="220"/>
      <c r="V30" s="220"/>
      <c r="W30" s="220"/>
      <c r="X30" s="220"/>
      <c r="Y30" s="220"/>
    </row>
    <row r="31" spans="1:25" ht="40.5" customHeight="1"/>
    <row r="32" spans="1:25" ht="16.5" customHeight="1">
      <c r="T32" s="215" t="s">
        <v>159</v>
      </c>
      <c r="U32" s="215"/>
      <c r="V32" s="215"/>
      <c r="W32" s="215"/>
      <c r="X32" s="216" t="s">
        <v>160</v>
      </c>
      <c r="Y32" s="216"/>
    </row>
  </sheetData>
  <mergeCells count="39">
    <mergeCell ref="G7:R7"/>
    <mergeCell ref="R8:R9"/>
    <mergeCell ref="A1:V1"/>
    <mergeCell ref="W1:Y1"/>
    <mergeCell ref="A2:Y2"/>
    <mergeCell ref="A4:Y4"/>
    <mergeCell ref="A5:Y5"/>
    <mergeCell ref="A6:Y6"/>
    <mergeCell ref="T8:T9"/>
    <mergeCell ref="U8:U9"/>
    <mergeCell ref="W8:W9"/>
    <mergeCell ref="X8:X9"/>
    <mergeCell ref="Y8:Y9"/>
    <mergeCell ref="A11:Y11"/>
    <mergeCell ref="S7:S9"/>
    <mergeCell ref="T7:U7"/>
    <mergeCell ref="V7:V9"/>
    <mergeCell ref="W7:Y7"/>
    <mergeCell ref="D8:D9"/>
    <mergeCell ref="E8:E9"/>
    <mergeCell ref="G8:G9"/>
    <mergeCell ref="H8:M8"/>
    <mergeCell ref="N8:P8"/>
    <mergeCell ref="Q8:Q9"/>
    <mergeCell ref="A7:A9"/>
    <mergeCell ref="B7:B9"/>
    <mergeCell ref="C7:C9"/>
    <mergeCell ref="D7:E7"/>
    <mergeCell ref="F7:F9"/>
    <mergeCell ref="T32:W32"/>
    <mergeCell ref="X32:Y32"/>
    <mergeCell ref="A13:Y13"/>
    <mergeCell ref="R28:Y28"/>
    <mergeCell ref="A29:G29"/>
    <mergeCell ref="H29:P29"/>
    <mergeCell ref="Q29:Y29"/>
    <mergeCell ref="A30:G30"/>
    <mergeCell ref="H30:P30"/>
    <mergeCell ref="Q30:Y30"/>
  </mergeCells>
  <pageMargins left="0.23" right="0.25" top="0.36" bottom="0.53" header="0" footer="0"/>
  <pageSetup paperSize="0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rang_tính1"/>
  <dimension ref="A1:V26"/>
  <sheetViews>
    <sheetView topLeftCell="A8" workbookViewId="0">
      <selection activeCell="H21" sqref="H21"/>
    </sheetView>
  </sheetViews>
  <sheetFormatPr defaultColWidth="9" defaultRowHeight="18"/>
  <cols>
    <col min="1" max="1" width="4.375" style="2" customWidth="1"/>
    <col min="2" max="2" width="9.25" style="2" customWidth="1"/>
    <col min="3" max="3" width="6.5" style="2" customWidth="1"/>
    <col min="4" max="4" width="3.75" style="2" customWidth="1"/>
    <col min="5" max="5" width="9.25" style="2" customWidth="1"/>
    <col min="6" max="6" width="5.25" style="2" customWidth="1"/>
    <col min="7" max="7" width="9.5" style="2" customWidth="1"/>
    <col min="8" max="8" width="8.5" style="2" customWidth="1"/>
    <col min="9" max="9" width="6.25" style="2" customWidth="1"/>
    <col min="10" max="10" width="8.625" style="2" customWidth="1"/>
    <col min="11" max="11" width="9.375" style="2" customWidth="1"/>
    <col min="12" max="12" width="9.5" style="2" customWidth="1"/>
    <col min="13" max="13" width="9" style="2" customWidth="1"/>
    <col min="14" max="15" width="8.75" style="2" customWidth="1"/>
    <col min="16" max="16" width="8.125" style="2" customWidth="1"/>
    <col min="17" max="17" width="9.25" style="2" customWidth="1"/>
    <col min="18" max="18" width="8.75" style="2" customWidth="1"/>
    <col min="19" max="19" width="9.125" style="2" customWidth="1"/>
    <col min="20" max="20" width="6.5" style="2" customWidth="1"/>
    <col min="21" max="21" width="13.625" style="2" customWidth="1"/>
    <col min="22" max="22" width="12.375" style="2" customWidth="1"/>
    <col min="23" max="16384" width="9" style="2"/>
  </cols>
  <sheetData>
    <row r="1" spans="1:22">
      <c r="A1" s="46" t="s">
        <v>51</v>
      </c>
    </row>
    <row r="2" spans="1:22">
      <c r="A2" s="47" t="s">
        <v>7</v>
      </c>
    </row>
    <row r="3" spans="1:22" ht="29.25">
      <c r="C3" s="10"/>
      <c r="D3" s="10"/>
      <c r="F3" s="26" t="s">
        <v>28</v>
      </c>
      <c r="G3" s="10"/>
      <c r="I3" s="23"/>
      <c r="J3" s="23"/>
      <c r="K3" s="23"/>
      <c r="L3" s="24"/>
      <c r="M3" s="24"/>
      <c r="N3" s="24"/>
      <c r="O3" s="22"/>
      <c r="P3" s="22"/>
      <c r="Q3" s="22"/>
      <c r="R3" s="22"/>
      <c r="S3" s="22"/>
    </row>
    <row r="4" spans="1:22" ht="20.25">
      <c r="I4" s="26" t="s">
        <v>46</v>
      </c>
      <c r="J4" s="25"/>
      <c r="L4" s="25"/>
      <c r="M4" s="25"/>
      <c r="N4" s="25"/>
    </row>
    <row r="6" spans="1:22" s="39" customFormat="1" ht="24.75" customHeight="1">
      <c r="A6" s="196" t="s">
        <v>0</v>
      </c>
      <c r="B6" s="196" t="s">
        <v>29</v>
      </c>
      <c r="C6" s="195" t="s">
        <v>30</v>
      </c>
      <c r="D6" s="197" t="s">
        <v>6</v>
      </c>
      <c r="E6" s="197" t="s">
        <v>35</v>
      </c>
      <c r="F6" s="204" t="s">
        <v>38</v>
      </c>
      <c r="G6" s="205"/>
      <c r="H6" s="205"/>
      <c r="I6" s="205"/>
      <c r="J6" s="206"/>
      <c r="K6" s="202" t="s">
        <v>23</v>
      </c>
      <c r="L6" s="200" t="s">
        <v>9</v>
      </c>
      <c r="M6" s="201"/>
      <c r="N6" s="201"/>
      <c r="O6" s="201"/>
      <c r="P6" s="201"/>
      <c r="Q6" s="199" t="s">
        <v>26</v>
      </c>
      <c r="R6" s="199" t="s">
        <v>8</v>
      </c>
      <c r="S6" s="197" t="s">
        <v>27</v>
      </c>
      <c r="T6" s="195" t="s">
        <v>34</v>
      </c>
    </row>
    <row r="7" spans="1:22" s="39" customFormat="1" ht="92.25" customHeight="1">
      <c r="A7" s="196"/>
      <c r="B7" s="196"/>
      <c r="C7" s="196"/>
      <c r="D7" s="198"/>
      <c r="E7" s="198"/>
      <c r="F7" s="43" t="s">
        <v>39</v>
      </c>
      <c r="G7" s="44" t="s">
        <v>31</v>
      </c>
      <c r="H7" s="44" t="s">
        <v>32</v>
      </c>
      <c r="I7" s="44" t="s">
        <v>33</v>
      </c>
      <c r="J7" s="40" t="s">
        <v>37</v>
      </c>
      <c r="K7" s="203"/>
      <c r="L7" s="34" t="s">
        <v>24</v>
      </c>
      <c r="M7" s="27" t="s">
        <v>40</v>
      </c>
      <c r="N7" s="38" t="s">
        <v>42</v>
      </c>
      <c r="O7" s="38" t="s">
        <v>47</v>
      </c>
      <c r="P7" s="41" t="s">
        <v>49</v>
      </c>
      <c r="Q7" s="199"/>
      <c r="R7" s="199"/>
      <c r="S7" s="198"/>
      <c r="T7" s="195"/>
    </row>
    <row r="8" spans="1:22" s="37" customFormat="1" ht="24" customHeight="1">
      <c r="A8" s="35">
        <v>1</v>
      </c>
      <c r="B8" s="36">
        <v>2</v>
      </c>
      <c r="C8" s="35">
        <v>3</v>
      </c>
      <c r="D8" s="36">
        <v>4</v>
      </c>
      <c r="E8" s="35" t="s">
        <v>25</v>
      </c>
      <c r="F8" s="35">
        <v>6</v>
      </c>
      <c r="G8" s="35">
        <v>7</v>
      </c>
      <c r="H8" s="36">
        <v>8</v>
      </c>
      <c r="I8" s="35">
        <v>9</v>
      </c>
      <c r="J8" s="36">
        <v>10</v>
      </c>
      <c r="K8" s="36" t="s">
        <v>36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 t="s">
        <v>43</v>
      </c>
      <c r="R8" s="36" t="s">
        <v>44</v>
      </c>
      <c r="S8" s="36" t="s">
        <v>45</v>
      </c>
      <c r="T8" s="36">
        <v>20</v>
      </c>
    </row>
    <row r="9" spans="1:22" ht="21.75" customHeight="1">
      <c r="A9" s="13">
        <v>1</v>
      </c>
      <c r="B9" s="14" t="s">
        <v>11</v>
      </c>
      <c r="C9" s="28">
        <v>1318</v>
      </c>
      <c r="D9" s="28"/>
      <c r="E9" s="29">
        <f>SUM(F9:J9)</f>
        <v>142522755</v>
      </c>
      <c r="F9" s="29"/>
      <c r="G9" s="30">
        <v>107347755</v>
      </c>
      <c r="H9" s="30"/>
      <c r="I9" s="30"/>
      <c r="J9" s="30">
        <v>35175000</v>
      </c>
      <c r="K9" s="29">
        <f t="shared" ref="K9:K20" si="0">SUM(L9:P9)</f>
        <v>135080278</v>
      </c>
      <c r="L9" s="30">
        <f>G9</f>
        <v>107347755</v>
      </c>
      <c r="M9" s="31">
        <v>25956000</v>
      </c>
      <c r="N9" s="30">
        <v>11172</v>
      </c>
      <c r="O9" s="45">
        <v>965351</v>
      </c>
      <c r="P9" s="30">
        <v>800000</v>
      </c>
      <c r="Q9" s="29">
        <f t="shared" ref="Q9:Q20" si="1">E9-K9</f>
        <v>7442477</v>
      </c>
      <c r="R9" s="29">
        <f>Q9*35%</f>
        <v>2604866.9499999997</v>
      </c>
      <c r="S9" s="29">
        <f>Q9-R9</f>
        <v>4837610.0500000007</v>
      </c>
      <c r="T9" s="15"/>
    </row>
    <row r="10" spans="1:22" ht="21.75" customHeight="1">
      <c r="A10" s="13">
        <v>2</v>
      </c>
      <c r="B10" s="14" t="s">
        <v>12</v>
      </c>
      <c r="C10" s="28">
        <v>2481</v>
      </c>
      <c r="D10" s="28"/>
      <c r="E10" s="29">
        <f t="shared" ref="E10:E20" si="2">SUM(F10:J10)</f>
        <v>187951947</v>
      </c>
      <c r="F10" s="29"/>
      <c r="G10" s="30">
        <v>118951179</v>
      </c>
      <c r="H10" s="30">
        <v>2273600</v>
      </c>
      <c r="I10" s="30">
        <v>15168</v>
      </c>
      <c r="J10" s="30">
        <f>65819000+893000</f>
        <v>66712000</v>
      </c>
      <c r="K10" s="29">
        <f t="shared" si="0"/>
        <v>171790813</v>
      </c>
      <c r="L10" s="30">
        <f t="shared" ref="L10:L20" si="3">G10</f>
        <v>118951179</v>
      </c>
      <c r="M10" s="31">
        <v>48481600</v>
      </c>
      <c r="N10" s="30">
        <v>867812</v>
      </c>
      <c r="O10" s="45">
        <v>2672222</v>
      </c>
      <c r="P10" s="30">
        <v>818000</v>
      </c>
      <c r="Q10" s="29">
        <f t="shared" si="1"/>
        <v>16161134</v>
      </c>
      <c r="R10" s="29">
        <f t="shared" ref="R10:R20" si="4">Q10*35%</f>
        <v>5656396.8999999994</v>
      </c>
      <c r="S10" s="29">
        <f t="shared" ref="S10:S20" si="5">Q10-R10</f>
        <v>10504737.100000001</v>
      </c>
      <c r="T10" s="15"/>
      <c r="V10" s="12"/>
    </row>
    <row r="11" spans="1:22" ht="21.75" customHeight="1">
      <c r="A11" s="13">
        <v>3</v>
      </c>
      <c r="B11" s="14" t="s">
        <v>13</v>
      </c>
      <c r="C11" s="28">
        <v>1382</v>
      </c>
      <c r="D11" s="28"/>
      <c r="E11" s="29">
        <f t="shared" si="2"/>
        <v>116747319</v>
      </c>
      <c r="F11" s="29">
        <v>58940</v>
      </c>
      <c r="G11" s="30">
        <v>78935979</v>
      </c>
      <c r="H11" s="30">
        <v>1037400</v>
      </c>
      <c r="I11" s="30"/>
      <c r="J11" s="30">
        <f>36556000+159000</f>
        <v>36715000</v>
      </c>
      <c r="K11" s="29">
        <f t="shared" si="0"/>
        <v>107642349</v>
      </c>
      <c r="L11" s="30">
        <f t="shared" si="3"/>
        <v>78935979</v>
      </c>
      <c r="M11" s="31">
        <v>26800340</v>
      </c>
      <c r="N11" s="30">
        <v>664596</v>
      </c>
      <c r="O11" s="45">
        <v>874634</v>
      </c>
      <c r="P11" s="30">
        <v>366800</v>
      </c>
      <c r="Q11" s="29">
        <f t="shared" si="1"/>
        <v>9104970</v>
      </c>
      <c r="R11" s="29">
        <f t="shared" si="4"/>
        <v>3186739.5</v>
      </c>
      <c r="S11" s="29">
        <f t="shared" si="5"/>
        <v>5918230.5</v>
      </c>
      <c r="T11" s="15"/>
      <c r="V11" s="12"/>
    </row>
    <row r="12" spans="1:22" ht="21.75" customHeight="1">
      <c r="A12" s="13">
        <v>4</v>
      </c>
      <c r="B12" s="14" t="s">
        <v>14</v>
      </c>
      <c r="C12" s="28">
        <v>2096</v>
      </c>
      <c r="D12" s="28"/>
      <c r="E12" s="29">
        <f t="shared" si="2"/>
        <v>186745750</v>
      </c>
      <c r="F12" s="29"/>
      <c r="G12" s="30">
        <v>127540650</v>
      </c>
      <c r="H12" s="30">
        <v>2623600</v>
      </c>
      <c r="I12" s="30"/>
      <c r="J12" s="30">
        <f>54969500+1612000</f>
        <v>56581500</v>
      </c>
      <c r="K12" s="29">
        <f t="shared" si="0"/>
        <v>169117884</v>
      </c>
      <c r="L12" s="30">
        <f t="shared" si="3"/>
        <v>127540650</v>
      </c>
      <c r="M12" s="31">
        <v>40680100</v>
      </c>
      <c r="N12" s="30">
        <v>629200</v>
      </c>
      <c r="O12" s="45">
        <v>267934</v>
      </c>
      <c r="P12" s="30"/>
      <c r="Q12" s="29">
        <f t="shared" si="1"/>
        <v>17627866</v>
      </c>
      <c r="R12" s="29">
        <f t="shared" si="4"/>
        <v>6169753.0999999996</v>
      </c>
      <c r="S12" s="29">
        <f t="shared" si="5"/>
        <v>11458112.9</v>
      </c>
      <c r="T12" s="15"/>
      <c r="V12" s="12"/>
    </row>
    <row r="13" spans="1:22" ht="21.75" customHeight="1">
      <c r="A13" s="13">
        <v>5</v>
      </c>
      <c r="B13" s="14" t="s">
        <v>15</v>
      </c>
      <c r="C13" s="28">
        <v>2331</v>
      </c>
      <c r="D13" s="28"/>
      <c r="E13" s="29">
        <f t="shared" si="2"/>
        <v>221733342</v>
      </c>
      <c r="F13" s="29"/>
      <c r="G13" s="30">
        <v>157695292</v>
      </c>
      <c r="H13" s="30">
        <v>2946300</v>
      </c>
      <c r="I13" s="30"/>
      <c r="J13" s="30">
        <f>60764750+327000</f>
        <v>61091750</v>
      </c>
      <c r="K13" s="29">
        <f t="shared" si="0"/>
        <v>203936803</v>
      </c>
      <c r="L13" s="30">
        <f t="shared" si="3"/>
        <v>157695292</v>
      </c>
      <c r="M13" s="31">
        <v>44416050</v>
      </c>
      <c r="N13" s="30">
        <v>893041</v>
      </c>
      <c r="O13" s="45">
        <v>145820</v>
      </c>
      <c r="P13" s="30">
        <v>786600</v>
      </c>
      <c r="Q13" s="29">
        <f t="shared" si="1"/>
        <v>17796539</v>
      </c>
      <c r="R13" s="29">
        <f t="shared" si="4"/>
        <v>6228788.6499999994</v>
      </c>
      <c r="S13" s="29">
        <f t="shared" si="5"/>
        <v>11567750.350000001</v>
      </c>
      <c r="T13" s="15"/>
      <c r="V13" s="12"/>
    </row>
    <row r="14" spans="1:22" ht="21.75" customHeight="1">
      <c r="A14" s="13">
        <v>6</v>
      </c>
      <c r="B14" s="14" t="s">
        <v>16</v>
      </c>
      <c r="C14" s="28">
        <v>2215</v>
      </c>
      <c r="D14" s="28"/>
      <c r="E14" s="29">
        <f t="shared" si="2"/>
        <v>176671861</v>
      </c>
      <c r="F14" s="29"/>
      <c r="G14" s="30">
        <v>113765210</v>
      </c>
      <c r="H14" s="30">
        <v>1813770</v>
      </c>
      <c r="I14" s="30">
        <v>204381</v>
      </c>
      <c r="J14" s="30">
        <f>58492500+2396000</f>
        <v>60888500</v>
      </c>
      <c r="K14" s="29">
        <f t="shared" si="0"/>
        <v>161356820</v>
      </c>
      <c r="L14" s="30">
        <f t="shared" si="3"/>
        <v>113765210</v>
      </c>
      <c r="M14" s="31">
        <v>43580270</v>
      </c>
      <c r="N14" s="30">
        <v>1504000</v>
      </c>
      <c r="O14" s="45">
        <v>1293440</v>
      </c>
      <c r="P14" s="30">
        <v>1213900</v>
      </c>
      <c r="Q14" s="29">
        <f t="shared" si="1"/>
        <v>15315041</v>
      </c>
      <c r="R14" s="29">
        <f t="shared" si="4"/>
        <v>5360264.3499999996</v>
      </c>
      <c r="S14" s="29">
        <f t="shared" si="5"/>
        <v>9954776.6500000004</v>
      </c>
      <c r="T14" s="15"/>
      <c r="V14" s="12"/>
    </row>
    <row r="15" spans="1:22" ht="21.75" customHeight="1">
      <c r="A15" s="13">
        <v>7</v>
      </c>
      <c r="B15" s="14" t="s">
        <v>17</v>
      </c>
      <c r="C15" s="28">
        <v>2318</v>
      </c>
      <c r="D15" s="28"/>
      <c r="E15" s="29">
        <f t="shared" si="2"/>
        <v>212048641</v>
      </c>
      <c r="F15" s="29"/>
      <c r="G15" s="30">
        <v>150002941</v>
      </c>
      <c r="H15" s="30">
        <v>249200</v>
      </c>
      <c r="I15" s="30"/>
      <c r="J15" s="30">
        <v>61796500</v>
      </c>
      <c r="K15" s="29">
        <f t="shared" si="0"/>
        <v>196146335</v>
      </c>
      <c r="L15" s="30">
        <f t="shared" si="3"/>
        <v>150002941</v>
      </c>
      <c r="M15" s="31">
        <v>45540700</v>
      </c>
      <c r="N15" s="30">
        <v>514494</v>
      </c>
      <c r="O15" s="45">
        <v>88200</v>
      </c>
      <c r="P15" s="30"/>
      <c r="Q15" s="29">
        <f t="shared" si="1"/>
        <v>15902306</v>
      </c>
      <c r="R15" s="29">
        <f t="shared" si="4"/>
        <v>5565807.0999999996</v>
      </c>
      <c r="S15" s="29">
        <f t="shared" si="5"/>
        <v>10336498.9</v>
      </c>
      <c r="T15" s="15"/>
      <c r="V15" s="12"/>
    </row>
    <row r="16" spans="1:22" ht="21.75" customHeight="1">
      <c r="A16" s="13">
        <v>8</v>
      </c>
      <c r="B16" s="14" t="s">
        <v>18</v>
      </c>
      <c r="C16" s="28">
        <v>2121</v>
      </c>
      <c r="D16" s="28"/>
      <c r="E16" s="29">
        <f t="shared" si="2"/>
        <v>150741026</v>
      </c>
      <c r="F16" s="29"/>
      <c r="G16" s="30">
        <v>89615432</v>
      </c>
      <c r="H16" s="30">
        <v>3381700</v>
      </c>
      <c r="I16" s="30">
        <v>173394</v>
      </c>
      <c r="J16" s="30">
        <f>56080500+1490000</f>
        <v>57570500</v>
      </c>
      <c r="K16" s="29">
        <f t="shared" si="0"/>
        <v>133445326</v>
      </c>
      <c r="L16" s="30">
        <f t="shared" si="3"/>
        <v>89615432</v>
      </c>
      <c r="M16" s="31">
        <v>41289200</v>
      </c>
      <c r="N16" s="30">
        <v>44394</v>
      </c>
      <c r="O16" s="45">
        <v>499000</v>
      </c>
      <c r="P16" s="30">
        <v>1997300</v>
      </c>
      <c r="Q16" s="29">
        <f t="shared" si="1"/>
        <v>17295700</v>
      </c>
      <c r="R16" s="29">
        <f t="shared" si="4"/>
        <v>6053495</v>
      </c>
      <c r="S16" s="29">
        <f t="shared" si="5"/>
        <v>11242205</v>
      </c>
      <c r="T16" s="15"/>
      <c r="V16" s="12"/>
    </row>
    <row r="17" spans="1:22" ht="21.75" customHeight="1">
      <c r="A17" s="13">
        <v>9</v>
      </c>
      <c r="B17" s="14" t="s">
        <v>19</v>
      </c>
      <c r="C17" s="28">
        <v>3145</v>
      </c>
      <c r="D17" s="28"/>
      <c r="E17" s="29">
        <f t="shared" si="2"/>
        <v>258334143</v>
      </c>
      <c r="F17" s="29"/>
      <c r="G17" s="30">
        <v>172184343</v>
      </c>
      <c r="H17" s="30">
        <v>2431800</v>
      </c>
      <c r="I17" s="30"/>
      <c r="J17" s="30">
        <f>83500000+218000</f>
        <v>83718000</v>
      </c>
      <c r="K17" s="29">
        <f t="shared" si="0"/>
        <v>235507271</v>
      </c>
      <c r="L17" s="30">
        <f t="shared" si="3"/>
        <v>172184343</v>
      </c>
      <c r="M17" s="31">
        <v>61165800</v>
      </c>
      <c r="N17" s="30">
        <v>1099400</v>
      </c>
      <c r="O17" s="45">
        <v>1057728</v>
      </c>
      <c r="P17" s="30"/>
      <c r="Q17" s="29">
        <f t="shared" si="1"/>
        <v>22826872</v>
      </c>
      <c r="R17" s="29">
        <f t="shared" si="4"/>
        <v>7989405.1999999993</v>
      </c>
      <c r="S17" s="29">
        <f t="shared" si="5"/>
        <v>14837466.800000001</v>
      </c>
      <c r="T17" s="15"/>
      <c r="V17" s="12"/>
    </row>
    <row r="18" spans="1:22" ht="21.75" customHeight="1">
      <c r="A18" s="13">
        <v>10</v>
      </c>
      <c r="B18" s="14" t="s">
        <v>20</v>
      </c>
      <c r="C18" s="28">
        <v>2495</v>
      </c>
      <c r="D18" s="28"/>
      <c r="E18" s="29">
        <f t="shared" si="2"/>
        <v>214572087</v>
      </c>
      <c r="F18" s="29"/>
      <c r="G18" s="30">
        <v>148169587</v>
      </c>
      <c r="H18" s="30"/>
      <c r="I18" s="30"/>
      <c r="J18" s="30">
        <f>66349500+53000</f>
        <v>66402500</v>
      </c>
      <c r="K18" s="29">
        <f t="shared" si="0"/>
        <v>202213299</v>
      </c>
      <c r="L18" s="30">
        <f t="shared" si="3"/>
        <v>148169587</v>
      </c>
      <c r="M18" s="31">
        <v>48917500</v>
      </c>
      <c r="N18" s="30">
        <v>2084300</v>
      </c>
      <c r="O18" s="45">
        <v>823612</v>
      </c>
      <c r="P18" s="30">
        <v>2218300</v>
      </c>
      <c r="Q18" s="29">
        <f t="shared" si="1"/>
        <v>12358788</v>
      </c>
      <c r="R18" s="29">
        <f t="shared" si="4"/>
        <v>4325575.8</v>
      </c>
      <c r="S18" s="29">
        <f t="shared" si="5"/>
        <v>8033212.2000000002</v>
      </c>
      <c r="T18" s="15"/>
      <c r="V18" s="12"/>
    </row>
    <row r="19" spans="1:22" ht="21" customHeight="1">
      <c r="A19" s="13">
        <v>11</v>
      </c>
      <c r="B19" s="14" t="s">
        <v>21</v>
      </c>
      <c r="C19" s="28">
        <v>1494</v>
      </c>
      <c r="D19" s="28"/>
      <c r="E19" s="29">
        <f t="shared" si="2"/>
        <v>124036113</v>
      </c>
      <c r="F19" s="29"/>
      <c r="G19" s="30">
        <v>83827613</v>
      </c>
      <c r="H19" s="30">
        <v>472500</v>
      </c>
      <c r="I19" s="30"/>
      <c r="J19" s="30">
        <v>39736000</v>
      </c>
      <c r="K19" s="29">
        <f t="shared" si="0"/>
        <v>118368369</v>
      </c>
      <c r="L19" s="30">
        <f t="shared" si="3"/>
        <v>83827613</v>
      </c>
      <c r="M19" s="31">
        <v>29190500</v>
      </c>
      <c r="N19" s="30">
        <v>1041930</v>
      </c>
      <c r="O19" s="45">
        <v>2625326</v>
      </c>
      <c r="P19" s="30">
        <v>1683000</v>
      </c>
      <c r="Q19" s="29">
        <f t="shared" si="1"/>
        <v>5667744</v>
      </c>
      <c r="R19" s="29">
        <f t="shared" si="4"/>
        <v>1983710.4</v>
      </c>
      <c r="S19" s="29">
        <f t="shared" si="5"/>
        <v>3684033.6</v>
      </c>
      <c r="T19" s="15"/>
      <c r="V19" s="12"/>
    </row>
    <row r="20" spans="1:22" ht="21.75" customHeight="1">
      <c r="A20" s="13">
        <v>12</v>
      </c>
      <c r="B20" s="14" t="s">
        <v>22</v>
      </c>
      <c r="C20" s="28">
        <v>1781</v>
      </c>
      <c r="D20" s="28"/>
      <c r="E20" s="29">
        <f t="shared" si="2"/>
        <v>144697406</v>
      </c>
      <c r="F20" s="29"/>
      <c r="G20" s="30">
        <v>86242240</v>
      </c>
      <c r="H20" s="30">
        <v>9782990</v>
      </c>
      <c r="I20" s="30">
        <v>26676</v>
      </c>
      <c r="J20" s="30">
        <f>46884500+1761000</f>
        <v>48645500</v>
      </c>
      <c r="K20" s="29">
        <f t="shared" si="0"/>
        <v>123639196</v>
      </c>
      <c r="L20" s="30">
        <f t="shared" si="3"/>
        <v>86242240</v>
      </c>
      <c r="M20" s="31">
        <v>33502490</v>
      </c>
      <c r="N20" s="30">
        <v>1881366</v>
      </c>
      <c r="O20" s="45">
        <v>1443000</v>
      </c>
      <c r="P20" s="30">
        <v>570100</v>
      </c>
      <c r="Q20" s="29">
        <f t="shared" si="1"/>
        <v>21058210</v>
      </c>
      <c r="R20" s="29">
        <f t="shared" si="4"/>
        <v>7370373.4999999991</v>
      </c>
      <c r="S20" s="29">
        <f t="shared" si="5"/>
        <v>13687836.5</v>
      </c>
      <c r="T20" s="15"/>
      <c r="V20" s="12"/>
    </row>
    <row r="21" spans="1:22" ht="21.75" customHeight="1">
      <c r="A21" s="16"/>
      <c r="B21" s="18" t="s">
        <v>10</v>
      </c>
      <c r="C21" s="32">
        <f>SUM(C9:C20)</f>
        <v>25177</v>
      </c>
      <c r="D21" s="32">
        <f t="shared" ref="D21" si="6">SUM(D9:D20)</f>
        <v>0</v>
      </c>
      <c r="E21" s="33">
        <f>SUM(E9:E20)</f>
        <v>2136802390</v>
      </c>
      <c r="F21" s="33">
        <f t="shared" ref="F21:S21" si="7">SUM(F9:F20)</f>
        <v>58940</v>
      </c>
      <c r="G21" s="33">
        <f t="shared" si="7"/>
        <v>1434278221</v>
      </c>
      <c r="H21" s="33">
        <f t="shared" si="7"/>
        <v>27012860</v>
      </c>
      <c r="I21" s="33">
        <f t="shared" si="7"/>
        <v>419619</v>
      </c>
      <c r="J21" s="33">
        <f t="shared" si="7"/>
        <v>675032750</v>
      </c>
      <c r="K21" s="33">
        <f t="shared" si="7"/>
        <v>1958244743</v>
      </c>
      <c r="L21" s="33">
        <f t="shared" si="7"/>
        <v>1434278221</v>
      </c>
      <c r="M21" s="33">
        <f t="shared" si="7"/>
        <v>489520550</v>
      </c>
      <c r="N21" s="33">
        <f t="shared" si="7"/>
        <v>11235705</v>
      </c>
      <c r="O21" s="33">
        <f t="shared" si="7"/>
        <v>12756267</v>
      </c>
      <c r="P21" s="33">
        <f t="shared" si="7"/>
        <v>10454000</v>
      </c>
      <c r="Q21" s="33">
        <f t="shared" si="7"/>
        <v>178557647</v>
      </c>
      <c r="R21" s="33">
        <f t="shared" si="7"/>
        <v>62495176.449999996</v>
      </c>
      <c r="S21" s="33">
        <f t="shared" si="7"/>
        <v>116062470.55</v>
      </c>
      <c r="T21" s="17"/>
      <c r="U21" s="3"/>
    </row>
    <row r="22" spans="1:22" s="19" customFormat="1" ht="28.15" customHeight="1">
      <c r="B22" s="19" t="s">
        <v>48</v>
      </c>
      <c r="O22" s="20"/>
    </row>
    <row r="23" spans="1:22" s="4" customFormat="1" ht="18.75">
      <c r="H23" s="5"/>
      <c r="N23" s="5"/>
      <c r="O23" s="1" t="s">
        <v>50</v>
      </c>
    </row>
    <row r="24" spans="1:22" s="6" customFormat="1" ht="18.75">
      <c r="D24" s="11" t="s">
        <v>1</v>
      </c>
      <c r="J24" s="11" t="s">
        <v>2</v>
      </c>
      <c r="M24" s="9"/>
      <c r="N24" s="7"/>
      <c r="O24" s="7"/>
      <c r="P24" s="6" t="s">
        <v>3</v>
      </c>
      <c r="R24" s="7"/>
    </row>
    <row r="25" spans="1:22">
      <c r="D25" s="21" t="s">
        <v>4</v>
      </c>
      <c r="J25" s="21" t="s">
        <v>4</v>
      </c>
      <c r="K25" s="21"/>
      <c r="P25" s="8" t="s">
        <v>5</v>
      </c>
      <c r="Q25" s="8"/>
    </row>
    <row r="26" spans="1:22">
      <c r="G26" s="42"/>
    </row>
  </sheetData>
  <mergeCells count="12">
    <mergeCell ref="T6:T7"/>
    <mergeCell ref="A6:A7"/>
    <mergeCell ref="B6:B7"/>
    <mergeCell ref="C6:C7"/>
    <mergeCell ref="D6:D7"/>
    <mergeCell ref="E6:E7"/>
    <mergeCell ref="F6:J6"/>
    <mergeCell ref="K6:K7"/>
    <mergeCell ref="L6:P6"/>
    <mergeCell ref="Q6:Q7"/>
    <mergeCell ref="R6:R7"/>
    <mergeCell ref="S6:S7"/>
  </mergeCells>
  <pageMargins left="0.2" right="0.2" top="0.2" bottom="0.2" header="0.2" footer="0.31496062992125984"/>
  <pageSetup paperSize="9" scale="8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workbookViewId="0">
      <selection activeCell="D24" sqref="D24:D25"/>
    </sheetView>
  </sheetViews>
  <sheetFormatPr defaultColWidth="9" defaultRowHeight="18"/>
  <cols>
    <col min="1" max="1" width="4.375" style="2" customWidth="1"/>
    <col min="2" max="2" width="9.25" style="2" customWidth="1"/>
    <col min="3" max="3" width="6.5" style="2" customWidth="1"/>
    <col min="4" max="4" width="3.75" style="2" customWidth="1"/>
    <col min="5" max="5" width="9.25" style="2" customWidth="1"/>
    <col min="6" max="6" width="5.25" style="2" customWidth="1"/>
    <col min="7" max="7" width="9.5" style="2" customWidth="1"/>
    <col min="8" max="8" width="8.5" style="2" customWidth="1"/>
    <col min="9" max="11" width="6.25" style="2" customWidth="1"/>
    <col min="12" max="12" width="8.625" style="2" customWidth="1"/>
    <col min="13" max="13" width="9.375" style="2" customWidth="1"/>
    <col min="14" max="14" width="9.5" style="2" customWidth="1"/>
    <col min="15" max="15" width="9" style="2" customWidth="1"/>
    <col min="16" max="17" width="8.75" style="2" customWidth="1"/>
    <col min="18" max="18" width="8.125" style="2" customWidth="1"/>
    <col min="19" max="19" width="9.25" style="2" customWidth="1"/>
    <col min="20" max="20" width="8.75" style="2" customWidth="1"/>
    <col min="21" max="21" width="9.125" style="2" customWidth="1"/>
    <col min="22" max="22" width="6.5" style="2" customWidth="1"/>
    <col min="23" max="23" width="13.625" style="2" customWidth="1"/>
    <col min="24" max="24" width="12.375" style="2" customWidth="1"/>
    <col min="25" max="16384" width="9" style="2"/>
  </cols>
  <sheetData>
    <row r="1" spans="1:24">
      <c r="A1" s="46" t="s">
        <v>51</v>
      </c>
    </row>
    <row r="2" spans="1:24">
      <c r="A2" s="47" t="s">
        <v>7</v>
      </c>
    </row>
    <row r="3" spans="1:24" ht="29.25">
      <c r="C3" s="10"/>
      <c r="D3" s="10"/>
      <c r="F3" s="26" t="s">
        <v>28</v>
      </c>
      <c r="G3" s="10"/>
      <c r="I3" s="23"/>
      <c r="J3" s="23"/>
      <c r="K3" s="23"/>
      <c r="L3" s="23"/>
      <c r="M3" s="23"/>
      <c r="N3" s="24"/>
      <c r="O3" s="24"/>
      <c r="P3" s="24"/>
      <c r="Q3" s="22"/>
      <c r="R3" s="22"/>
      <c r="S3" s="22"/>
      <c r="T3" s="22"/>
      <c r="U3" s="22"/>
    </row>
    <row r="4" spans="1:24" ht="20.25">
      <c r="I4" s="26" t="s">
        <v>168</v>
      </c>
      <c r="J4" s="26"/>
      <c r="K4" s="26"/>
      <c r="L4" s="25"/>
      <c r="N4" s="25"/>
      <c r="O4" s="25"/>
      <c r="P4" s="25"/>
    </row>
    <row r="6" spans="1:24" s="39" customFormat="1" ht="24.75" customHeight="1">
      <c r="A6" s="196" t="s">
        <v>0</v>
      </c>
      <c r="B6" s="196" t="s">
        <v>29</v>
      </c>
      <c r="C6" s="195" t="s">
        <v>30</v>
      </c>
      <c r="D6" s="197" t="s">
        <v>6</v>
      </c>
      <c r="E6" s="197" t="s">
        <v>35</v>
      </c>
      <c r="F6" s="199" t="s">
        <v>38</v>
      </c>
      <c r="G6" s="199"/>
      <c r="H6" s="199"/>
      <c r="I6" s="199"/>
      <c r="J6" s="199"/>
      <c r="K6" s="199"/>
      <c r="L6" s="199"/>
      <c r="M6" s="202" t="s">
        <v>23</v>
      </c>
      <c r="N6" s="200" t="s">
        <v>9</v>
      </c>
      <c r="O6" s="201"/>
      <c r="P6" s="201"/>
      <c r="Q6" s="201"/>
      <c r="R6" s="201"/>
      <c r="S6" s="199" t="s">
        <v>26</v>
      </c>
      <c r="T6" s="199" t="s">
        <v>8</v>
      </c>
      <c r="U6" s="197" t="s">
        <v>27</v>
      </c>
      <c r="V6" s="195" t="s">
        <v>34</v>
      </c>
    </row>
    <row r="7" spans="1:24" s="39" customFormat="1" ht="92.25" customHeight="1">
      <c r="A7" s="196"/>
      <c r="B7" s="196"/>
      <c r="C7" s="196"/>
      <c r="D7" s="198"/>
      <c r="E7" s="198"/>
      <c r="F7" s="56" t="s">
        <v>39</v>
      </c>
      <c r="G7" s="57" t="s">
        <v>31</v>
      </c>
      <c r="H7" s="57" t="s">
        <v>32</v>
      </c>
      <c r="I7" s="57" t="s">
        <v>33</v>
      </c>
      <c r="J7" s="69" t="s">
        <v>172</v>
      </c>
      <c r="K7" s="69" t="s">
        <v>53</v>
      </c>
      <c r="L7" s="69" t="s">
        <v>41</v>
      </c>
      <c r="M7" s="203"/>
      <c r="N7" s="34" t="s">
        <v>24</v>
      </c>
      <c r="O7" s="27" t="s">
        <v>55</v>
      </c>
      <c r="P7" s="38" t="s">
        <v>57</v>
      </c>
      <c r="Q7" s="38" t="s">
        <v>167</v>
      </c>
      <c r="R7" s="41" t="s">
        <v>49</v>
      </c>
      <c r="S7" s="199"/>
      <c r="T7" s="199"/>
      <c r="U7" s="198"/>
      <c r="V7" s="195"/>
    </row>
    <row r="8" spans="1:24" s="37" customFormat="1" ht="24" customHeight="1">
      <c r="A8" s="35">
        <v>1</v>
      </c>
      <c r="B8" s="36">
        <v>2</v>
      </c>
      <c r="C8" s="35">
        <v>3</v>
      </c>
      <c r="D8" s="36">
        <v>4</v>
      </c>
      <c r="E8" s="35" t="s">
        <v>25</v>
      </c>
      <c r="F8" s="35">
        <v>6</v>
      </c>
      <c r="G8" s="35">
        <v>7</v>
      </c>
      <c r="H8" s="36">
        <v>8</v>
      </c>
      <c r="I8" s="35">
        <v>9</v>
      </c>
      <c r="J8" s="35"/>
      <c r="K8" s="35"/>
      <c r="L8" s="36">
        <v>10</v>
      </c>
      <c r="M8" s="36" t="s">
        <v>170</v>
      </c>
      <c r="N8" s="36">
        <v>12</v>
      </c>
      <c r="O8" s="36">
        <v>13</v>
      </c>
      <c r="P8" s="36">
        <v>14</v>
      </c>
      <c r="Q8" s="36">
        <v>15</v>
      </c>
      <c r="R8" s="36">
        <v>16</v>
      </c>
      <c r="S8" s="36" t="s">
        <v>43</v>
      </c>
      <c r="T8" s="36" t="s">
        <v>44</v>
      </c>
      <c r="U8" s="36" t="s">
        <v>45</v>
      </c>
      <c r="V8" s="36">
        <v>20</v>
      </c>
    </row>
    <row r="9" spans="1:24" ht="21.75" customHeight="1">
      <c r="A9" s="13">
        <v>1</v>
      </c>
      <c r="B9" s="14" t="s">
        <v>11</v>
      </c>
      <c r="C9" s="28">
        <f>'TYT xã _2020_Quý IV (4)'!C9+'TYT xã _2020_Quý III (3)'!C9+'TYT xã _2020_Quý II (2)'!C9+'TYT xã _2020_Quý I'!C9</f>
        <v>690</v>
      </c>
      <c r="D9" s="28">
        <f>'TYT xã _2020_Quý IV (4)'!D9+'TYT xã _2020_Quý III (3)'!D9+'TYT xã _2020_Quý II (2)'!D9+'TYT xã _2020_Quý I'!D9</f>
        <v>0</v>
      </c>
      <c r="E9" s="29">
        <f>SUM(F9:L9)</f>
        <v>67874285</v>
      </c>
      <c r="F9" s="30">
        <f>'TYT xã _2020_Quý IV (4)'!F9+'TYT xã _2020_Quý III (3)'!F9+'TYT xã _2020_Quý II (2)'!F9+'TYT xã _2020_Quý I'!F9</f>
        <v>0</v>
      </c>
      <c r="G9" s="30">
        <f>'TYT xã _2020_Quý IV (4)'!G9+'TYT xã _2020_Quý III (3)'!G9+'TYT xã _2020_Quý II (2)'!G9+'TYT xã _2020_Quý I'!G9</f>
        <v>46540885</v>
      </c>
      <c r="H9" s="30">
        <f>'TYT xã _2020_Quý IV (4)'!H9+'TYT xã _2020_Quý III (3)'!H9+'TYT xã _2020_Quý II (2)'!H9+'TYT xã _2020_Quý I'!H9</f>
        <v>0</v>
      </c>
      <c r="I9" s="30">
        <f>'TYT xã _2020_Quý IV (4)'!I9+'TYT xã _2020_Quý III (3)'!I9+'TYT xã _2020_Quý II (2)'!I9+'TYT xã _2020_Quý I'!I9</f>
        <v>0</v>
      </c>
      <c r="J9" s="30">
        <f>'TYT xã _2020_Quý IV (4)'!J9+'TYT xã _2020_Quý III (3)'!J9+'TYT xã _2020_Quý II (2)'!J9+'TYT xã _2020_Quý I'!J9</f>
        <v>2358400</v>
      </c>
      <c r="K9" s="30">
        <f>'TYT xã _2020_Quý IV (4)'!K9+'TYT xã _2020_Quý III (3)'!K9+'TYT xã _2020_Quý II (2)'!K9+'TYT xã _2020_Quý I'!K9</f>
        <v>0</v>
      </c>
      <c r="L9" s="30">
        <f>'TYT xã _2020_Quý IV (4)'!L9+'TYT xã _2020_Quý III (3)'!L9+'TYT xã _2020_Quý II (2)'!L9+'TYT xã _2020_Quý I'!L9</f>
        <v>18975000</v>
      </c>
      <c r="M9" s="29">
        <f t="shared" ref="M9:M20" si="0">SUM(N9:R9)</f>
        <v>63334385</v>
      </c>
      <c r="N9" s="30">
        <f>'TYT xã _2020_Quý IV (4)'!N9+'TYT xã _2020_Quý III (3)'!N9+'TYT xã _2020_Quý II (2)'!N9+'TYT xã _2020_Quý I'!N9</f>
        <v>46540885</v>
      </c>
      <c r="O9" s="30">
        <f>'TYT xã _2020_Quý IV (4)'!O9+'TYT xã _2020_Quý III (3)'!O9+'TYT xã _2020_Quý II (2)'!O9+'TYT xã _2020_Quý I'!O9</f>
        <v>14145000</v>
      </c>
      <c r="P9" s="30">
        <f>'TYT xã _2020_Quý IV (4)'!P9+'TYT xã _2020_Quý III (3)'!P9+'TYT xã _2020_Quý II (2)'!P9+'TYT xã _2020_Quý I'!P9</f>
        <v>283000</v>
      </c>
      <c r="Q9" s="30">
        <f>'TYT xã _2020_Quý IV (4)'!Q9+'TYT xã _2020_Quý III (3)'!Q9+'TYT xã _2020_Quý II (2)'!Q9+'TYT xã _2020_Quý I'!Q9</f>
        <v>176000</v>
      </c>
      <c r="R9" s="59">
        <f>'TYT xã _2020_Quý IV (4)'!R9+'TYT xã _2020_Quý III (3)'!R9+'TYT xã _2020_Quý II (2)'!R9+'TYT xã _2020_Quý I'!R9</f>
        <v>2189500</v>
      </c>
      <c r="S9" s="29">
        <f t="shared" ref="S9:S20" si="1">E9-M9</f>
        <v>4539900</v>
      </c>
      <c r="T9" s="29">
        <f>S9*35%</f>
        <v>1588965</v>
      </c>
      <c r="U9" s="29">
        <f>S9-T9</f>
        <v>2950935</v>
      </c>
      <c r="V9" s="15"/>
    </row>
    <row r="10" spans="1:24" ht="21.75" customHeight="1">
      <c r="A10" s="13">
        <v>2</v>
      </c>
      <c r="B10" s="14" t="s">
        <v>12</v>
      </c>
      <c r="C10" s="28">
        <f>'TYT xã _2020_Quý IV (4)'!C10+'TYT xã _2020_Quý III (3)'!C10+'TYT xã _2020_Quý II (2)'!C10+'TYT xã _2020_Quý I'!C10</f>
        <v>2332</v>
      </c>
      <c r="D10" s="28">
        <f>'TYT xã _2020_Quý IV (4)'!D10+'TYT xã _2020_Quý III (3)'!D10+'TYT xã _2020_Quý II (2)'!D10+'TYT xã _2020_Quý I'!D10</f>
        <v>0</v>
      </c>
      <c r="E10" s="29">
        <f t="shared" ref="E10:E20" si="2">SUM(F10:L10)</f>
        <v>182555960</v>
      </c>
      <c r="F10" s="30">
        <f>'TYT xã _2020_Quý IV (4)'!F10+'TYT xã _2020_Quý III (3)'!F10+'TYT xã _2020_Quý II (2)'!F10+'TYT xã _2020_Quý I'!F10</f>
        <v>0</v>
      </c>
      <c r="G10" s="30">
        <f>'TYT xã _2020_Quý IV (4)'!G10+'TYT xã _2020_Quý III (3)'!G10+'TYT xã _2020_Quý II (2)'!G10+'TYT xã _2020_Quý I'!G10</f>
        <v>115685560</v>
      </c>
      <c r="H10" s="30">
        <f>'TYT xã _2020_Quý IV (4)'!H10+'TYT xã _2020_Quý III (3)'!H10+'TYT xã _2020_Quý II (2)'!H10+'TYT xã _2020_Quý I'!H10</f>
        <v>674100</v>
      </c>
      <c r="I10" s="30">
        <f>'TYT xã _2020_Quý IV (4)'!I10+'TYT xã _2020_Quý III (3)'!I10+'TYT xã _2020_Quý II (2)'!I10+'TYT xã _2020_Quý I'!I10</f>
        <v>0</v>
      </c>
      <c r="J10" s="30">
        <f>'TYT xã _2020_Quý IV (4)'!J10+'TYT xã _2020_Quý III (3)'!J10+'TYT xã _2020_Quý II (2)'!J10+'TYT xã _2020_Quý I'!J10</f>
        <v>2036800</v>
      </c>
      <c r="K10" s="30">
        <f>'TYT xã _2020_Quý IV (4)'!K10+'TYT xã _2020_Quý III (3)'!K10+'TYT xã _2020_Quý II (2)'!K10+'TYT xã _2020_Quý I'!K10</f>
        <v>112000</v>
      </c>
      <c r="L10" s="30">
        <f>'TYT xã _2020_Quý IV (4)'!L10+'TYT xã _2020_Quý III (3)'!L10+'TYT xã _2020_Quý II (2)'!L10+'TYT xã _2020_Quý I'!L10</f>
        <v>64047500</v>
      </c>
      <c r="M10" s="29">
        <f t="shared" si="0"/>
        <v>170053190</v>
      </c>
      <c r="N10" s="30">
        <f>'TYT xã _2020_Quý IV (4)'!N10+'TYT xã _2020_Quý III (3)'!N10+'TYT xã _2020_Quý II (2)'!N10+'TYT xã _2020_Quý I'!N10</f>
        <v>115685560</v>
      </c>
      <c r="O10" s="30">
        <f>'TYT xã _2020_Quý IV (4)'!O10+'TYT xã _2020_Quý III (3)'!O10+'TYT xã _2020_Quý II (2)'!O10+'TYT xã _2020_Quý I'!O10</f>
        <v>47925700</v>
      </c>
      <c r="P10" s="30">
        <f>'TYT xã _2020_Quý IV (4)'!P10+'TYT xã _2020_Quý III (3)'!P10+'TYT xã _2020_Quý II (2)'!P10+'TYT xã _2020_Quý I'!P10</f>
        <v>413700</v>
      </c>
      <c r="Q10" s="30">
        <f>'TYT xã _2020_Quý IV (4)'!Q10+'TYT xã _2020_Quý III (3)'!Q10+'TYT xã _2020_Quý II (2)'!Q10+'TYT xã _2020_Quý I'!Q10</f>
        <v>1405880</v>
      </c>
      <c r="R10" s="59">
        <f>'TYT xã _2020_Quý IV (4)'!R10+'TYT xã _2020_Quý III (3)'!R10+'TYT xã _2020_Quý II (2)'!R10+'TYT xã _2020_Quý I'!R10</f>
        <v>4622350</v>
      </c>
      <c r="S10" s="29">
        <f t="shared" si="1"/>
        <v>12502770</v>
      </c>
      <c r="T10" s="29">
        <f t="shared" ref="T10:T20" si="3">S10*35%</f>
        <v>4375969.5</v>
      </c>
      <c r="U10" s="29">
        <f t="shared" ref="U10:U20" si="4">S10-T10</f>
        <v>8126800.5</v>
      </c>
      <c r="V10" s="15"/>
      <c r="X10" s="12"/>
    </row>
    <row r="11" spans="1:24" ht="21.75" customHeight="1">
      <c r="A11" s="13">
        <v>3</v>
      </c>
      <c r="B11" s="14" t="s">
        <v>13</v>
      </c>
      <c r="C11" s="28">
        <f>'TYT xã _2020_Quý IV (4)'!C11+'TYT xã _2020_Quý III (3)'!C11+'TYT xã _2020_Quý II (2)'!C11+'TYT xã _2020_Quý I'!C11</f>
        <v>2122</v>
      </c>
      <c r="D11" s="28">
        <f>'TYT xã _2020_Quý IV (4)'!D11+'TYT xã _2020_Quý III (3)'!D11+'TYT xã _2020_Quý II (2)'!D11+'TYT xã _2020_Quý I'!D11</f>
        <v>0</v>
      </c>
      <c r="E11" s="29">
        <f t="shared" si="2"/>
        <v>186374376</v>
      </c>
      <c r="F11" s="30">
        <f>'TYT xã _2020_Quý IV (4)'!F11+'TYT xã _2020_Quý III (3)'!F11+'TYT xã _2020_Quý II (2)'!F11+'TYT xã _2020_Quý I'!F11</f>
        <v>0</v>
      </c>
      <c r="G11" s="30">
        <f>'TYT xã _2020_Quý IV (4)'!G11+'TYT xã _2020_Quý III (3)'!G11+'TYT xã _2020_Quý II (2)'!G11+'TYT xã _2020_Quý I'!G11</f>
        <v>126822776</v>
      </c>
      <c r="H11" s="30">
        <f>'TYT xã _2020_Quý IV (4)'!H11+'TYT xã _2020_Quý III (3)'!H11+'TYT xã _2020_Quý II (2)'!H11+'TYT xã _2020_Quý I'!H11</f>
        <v>124600</v>
      </c>
      <c r="I11" s="30">
        <f>'TYT xã _2020_Quý IV (4)'!I11+'TYT xã _2020_Quý III (3)'!I11+'TYT xã _2020_Quý II (2)'!I11+'TYT xã _2020_Quý I'!I11</f>
        <v>0</v>
      </c>
      <c r="J11" s="30">
        <f>'TYT xã _2020_Quý IV (4)'!J11+'TYT xã _2020_Quý III (3)'!J11+'TYT xã _2020_Quý II (2)'!J11+'TYT xã _2020_Quý I'!J11</f>
        <v>1072000</v>
      </c>
      <c r="K11" s="30">
        <f>'TYT xã _2020_Quý IV (4)'!K11+'TYT xã _2020_Quý III (3)'!K11+'TYT xã _2020_Quý II (2)'!K11+'TYT xã _2020_Quý I'!K11</f>
        <v>0</v>
      </c>
      <c r="L11" s="30">
        <f>'TYT xã _2020_Quý IV (4)'!L11+'TYT xã _2020_Quý III (3)'!L11+'TYT xã _2020_Quý II (2)'!L11+'TYT xã _2020_Quý I'!L11</f>
        <v>58355000</v>
      </c>
      <c r="M11" s="29">
        <f t="shared" si="0"/>
        <v>175377423</v>
      </c>
      <c r="N11" s="30">
        <f>'TYT xã _2020_Quý IV (4)'!N11+'TYT xã _2020_Quý III (3)'!N11+'TYT xã _2020_Quý II (2)'!N11+'TYT xã _2020_Quý I'!N11</f>
        <v>126822776</v>
      </c>
      <c r="O11" s="30">
        <f>'TYT xã _2020_Quý IV (4)'!O11+'TYT xã _2020_Quý III (3)'!O11+'TYT xã _2020_Quý II (2)'!O11+'TYT xã _2020_Quý I'!O11</f>
        <v>43520600</v>
      </c>
      <c r="P11" s="30">
        <f>'TYT xã _2020_Quý IV (4)'!P11+'TYT xã _2020_Quý III (3)'!P11+'TYT xã _2020_Quý II (2)'!P11+'TYT xã _2020_Quý I'!P11</f>
        <v>389300</v>
      </c>
      <c r="Q11" s="30">
        <f>'TYT xã _2020_Quý IV (4)'!Q11+'TYT xã _2020_Quý III (3)'!Q11+'TYT xã _2020_Quý II (2)'!Q11+'TYT xã _2020_Quý I'!Q11</f>
        <v>2203597</v>
      </c>
      <c r="R11" s="59">
        <f>'TYT xã _2020_Quý IV (4)'!R11+'TYT xã _2020_Quý III (3)'!R11+'TYT xã _2020_Quý II (2)'!R11+'TYT xã _2020_Quý I'!R11</f>
        <v>2441150</v>
      </c>
      <c r="S11" s="29">
        <f t="shared" si="1"/>
        <v>10996953</v>
      </c>
      <c r="T11" s="29">
        <f t="shared" si="3"/>
        <v>3848933.55</v>
      </c>
      <c r="U11" s="29">
        <f t="shared" si="4"/>
        <v>7148019.4500000002</v>
      </c>
      <c r="V11" s="15"/>
      <c r="X11" s="12"/>
    </row>
    <row r="12" spans="1:24" ht="21.75" customHeight="1">
      <c r="A12" s="13">
        <v>4</v>
      </c>
      <c r="B12" s="14" t="s">
        <v>14</v>
      </c>
      <c r="C12" s="28">
        <f>'TYT xã _2020_Quý IV (4)'!C12+'TYT xã _2020_Quý III (3)'!C12+'TYT xã _2020_Quý II (2)'!C12+'TYT xã _2020_Quý I'!C12</f>
        <v>2102</v>
      </c>
      <c r="D12" s="28">
        <f>'TYT xã _2020_Quý IV (4)'!D12+'TYT xã _2020_Quý III (3)'!D12+'TYT xã _2020_Quý II (2)'!D12+'TYT xã _2020_Quý I'!D12</f>
        <v>0</v>
      </c>
      <c r="E12" s="29">
        <f t="shared" si="2"/>
        <v>196313750</v>
      </c>
      <c r="F12" s="30">
        <f>'TYT xã _2020_Quý IV (4)'!F12+'TYT xã _2020_Quý III (3)'!F12+'TYT xã _2020_Quý II (2)'!F12+'TYT xã _2020_Quý I'!F12</f>
        <v>0</v>
      </c>
      <c r="G12" s="30">
        <f>'TYT xã _2020_Quý IV (4)'!G12+'TYT xã _2020_Quý III (3)'!G12+'TYT xã _2020_Quý II (2)'!G12+'TYT xã _2020_Quý I'!G12</f>
        <v>133503150</v>
      </c>
      <c r="H12" s="30">
        <f>'TYT xã _2020_Quý IV (4)'!H12+'TYT xã _2020_Quý III (3)'!H12+'TYT xã _2020_Quý II (2)'!H12+'TYT xã _2020_Quý I'!H12</f>
        <v>1550500</v>
      </c>
      <c r="I12" s="30">
        <f>'TYT xã _2020_Quý IV (4)'!I12+'TYT xã _2020_Quý III (3)'!I12+'TYT xã _2020_Quý II (2)'!I12+'TYT xã _2020_Quý I'!I12</f>
        <v>0</v>
      </c>
      <c r="J12" s="30">
        <f>'TYT xã _2020_Quý IV (4)'!J12+'TYT xã _2020_Quý III (3)'!J12+'TYT xã _2020_Quý II (2)'!J12+'TYT xã _2020_Quý I'!J12</f>
        <v>3537600</v>
      </c>
      <c r="K12" s="30">
        <f>'TYT xã _2020_Quý IV (4)'!K12+'TYT xã _2020_Quý III (3)'!K12+'TYT xã _2020_Quý II (2)'!K12+'TYT xã _2020_Quý I'!K12</f>
        <v>0</v>
      </c>
      <c r="L12" s="30">
        <f>'TYT xã _2020_Quý IV (4)'!L12+'TYT xã _2020_Quý III (3)'!L12+'TYT xã _2020_Quý II (2)'!L12+'TYT xã _2020_Quý I'!L12</f>
        <v>57722500</v>
      </c>
      <c r="M12" s="29">
        <f t="shared" si="0"/>
        <v>183363540</v>
      </c>
      <c r="N12" s="30">
        <f>'TYT xã _2020_Quý IV (4)'!N12+'TYT xã _2020_Quý III (3)'!N12+'TYT xã _2020_Quý II (2)'!N12+'TYT xã _2020_Quý I'!N12</f>
        <v>133503150</v>
      </c>
      <c r="O12" s="30">
        <f>'TYT xã _2020_Quý IV (4)'!O12+'TYT xã _2020_Quý III (3)'!O12+'TYT xã _2020_Quý II (2)'!O12+'TYT xã _2020_Quý I'!O12</f>
        <v>43285000</v>
      </c>
      <c r="P12" s="30">
        <f>'TYT xã _2020_Quý IV (4)'!P12+'TYT xã _2020_Quý III (3)'!P12+'TYT xã _2020_Quý II (2)'!P12+'TYT xã _2020_Quý I'!P12</f>
        <v>254620</v>
      </c>
      <c r="Q12" s="30">
        <f>'TYT xã _2020_Quý IV (4)'!Q12+'TYT xã _2020_Quý III (3)'!Q12+'TYT xã _2020_Quý II (2)'!Q12+'TYT xã _2020_Quý I'!Q12</f>
        <v>2295960</v>
      </c>
      <c r="R12" s="59">
        <f>'TYT xã _2020_Quý IV (4)'!R12+'TYT xã _2020_Quý III (3)'!R12+'TYT xã _2020_Quý II (2)'!R12+'TYT xã _2020_Quý I'!R12</f>
        <v>4024810</v>
      </c>
      <c r="S12" s="29">
        <f t="shared" si="1"/>
        <v>12950210</v>
      </c>
      <c r="T12" s="29">
        <f t="shared" si="3"/>
        <v>4532573.5</v>
      </c>
      <c r="U12" s="29">
        <f t="shared" si="4"/>
        <v>8417636.5</v>
      </c>
      <c r="V12" s="15"/>
      <c r="X12" s="12"/>
    </row>
    <row r="13" spans="1:24" ht="21.75" customHeight="1">
      <c r="A13" s="13">
        <v>5</v>
      </c>
      <c r="B13" s="14" t="s">
        <v>15</v>
      </c>
      <c r="C13" s="28">
        <f>'TYT xã _2020_Quý IV (4)'!C13+'TYT xã _2020_Quý III (3)'!C13+'TYT xã _2020_Quý II (2)'!C13+'TYT xã _2020_Quý I'!C13</f>
        <v>2220</v>
      </c>
      <c r="D13" s="28">
        <f>'TYT xã _2020_Quý IV (4)'!D13+'TYT xã _2020_Quý III (3)'!D13+'TYT xã _2020_Quý II (2)'!D13+'TYT xã _2020_Quý I'!D13</f>
        <v>0</v>
      </c>
      <c r="E13" s="29">
        <f t="shared" si="2"/>
        <v>202822617</v>
      </c>
      <c r="F13" s="30">
        <f>'TYT xã _2020_Quý IV (4)'!F13+'TYT xã _2020_Quý III (3)'!F13+'TYT xã _2020_Quý II (2)'!F13+'TYT xã _2020_Quý I'!F13</f>
        <v>0</v>
      </c>
      <c r="G13" s="30">
        <f>'TYT xã _2020_Quý IV (4)'!G13+'TYT xã _2020_Quý III (3)'!G13+'TYT xã _2020_Quý II (2)'!G13+'TYT xã _2020_Quý I'!G13</f>
        <v>140832317</v>
      </c>
      <c r="H13" s="30">
        <f>'TYT xã _2020_Quý IV (4)'!H13+'TYT xã _2020_Quý III (3)'!H13+'TYT xã _2020_Quý II (2)'!H13+'TYT xã _2020_Quý I'!H13</f>
        <v>494200</v>
      </c>
      <c r="I13" s="30">
        <f>'TYT xã _2020_Quý IV (4)'!I13+'TYT xã _2020_Quý III (3)'!I13+'TYT xã _2020_Quý II (2)'!I13+'TYT xã _2020_Quý I'!I13</f>
        <v>0</v>
      </c>
      <c r="J13" s="30">
        <f>'TYT xã _2020_Quý IV (4)'!J13+'TYT xã _2020_Quý III (3)'!J13+'TYT xã _2020_Quý II (2)'!J13+'TYT xã _2020_Quý I'!J13</f>
        <v>857600</v>
      </c>
      <c r="K13" s="30">
        <f>'TYT xã _2020_Quý IV (4)'!K13+'TYT xã _2020_Quý III (3)'!K13+'TYT xã _2020_Quý II (2)'!K13+'TYT xã _2020_Quý I'!K13</f>
        <v>56000</v>
      </c>
      <c r="L13" s="30">
        <f>'TYT xã _2020_Quý IV (4)'!L13+'TYT xã _2020_Quý III (3)'!L13+'TYT xã _2020_Quý II (2)'!L13+'TYT xã _2020_Quý I'!L13</f>
        <v>60582500</v>
      </c>
      <c r="M13" s="29">
        <f t="shared" si="0"/>
        <v>190814567</v>
      </c>
      <c r="N13" s="30">
        <f>'TYT xã _2020_Quý IV (4)'!N13+'TYT xã _2020_Quý III (3)'!N13+'TYT xã _2020_Quý II (2)'!N13+'TYT xã _2020_Quý I'!N13</f>
        <v>140832317</v>
      </c>
      <c r="O13" s="30">
        <f>'TYT xã _2020_Quý IV (4)'!O13+'TYT xã _2020_Quý III (3)'!O13+'TYT xã _2020_Quý II (2)'!O13+'TYT xã _2020_Quý I'!O13</f>
        <v>45280800</v>
      </c>
      <c r="P13" s="30">
        <f>'TYT xã _2020_Quý IV (4)'!P13+'TYT xã _2020_Quý III (3)'!P13+'TYT xã _2020_Quý II (2)'!P13+'TYT xã _2020_Quý I'!P13</f>
        <v>436600</v>
      </c>
      <c r="Q13" s="30">
        <f>'TYT xã _2020_Quý IV (4)'!Q13+'TYT xã _2020_Quý III (3)'!Q13+'TYT xã _2020_Quý II (2)'!Q13+'TYT xã _2020_Quý I'!Q13</f>
        <v>2718850</v>
      </c>
      <c r="R13" s="59">
        <f>'TYT xã _2020_Quý IV (4)'!R13+'TYT xã _2020_Quý III (3)'!R13+'TYT xã _2020_Quý II (2)'!R13+'TYT xã _2020_Quý I'!R13</f>
        <v>1546000</v>
      </c>
      <c r="S13" s="29">
        <f t="shared" si="1"/>
        <v>12008050</v>
      </c>
      <c r="T13" s="29">
        <f t="shared" si="3"/>
        <v>4202817.5</v>
      </c>
      <c r="U13" s="29">
        <f t="shared" si="4"/>
        <v>7805232.5</v>
      </c>
      <c r="V13" s="15"/>
      <c r="X13" s="12"/>
    </row>
    <row r="14" spans="1:24" ht="21.75" customHeight="1">
      <c r="A14" s="13">
        <v>6</v>
      </c>
      <c r="B14" s="14" t="s">
        <v>16</v>
      </c>
      <c r="C14" s="28">
        <f>'TYT xã _2020_Quý IV (4)'!C14+'TYT xã _2020_Quý III (3)'!C14+'TYT xã _2020_Quý II (2)'!C14+'TYT xã _2020_Quý I'!C14</f>
        <v>2424</v>
      </c>
      <c r="D14" s="28">
        <f>'TYT xã _2020_Quý IV (4)'!D14+'TYT xã _2020_Quý III (3)'!D14+'TYT xã _2020_Quý II (2)'!D14+'TYT xã _2020_Quý I'!D14</f>
        <v>0</v>
      </c>
      <c r="E14" s="29">
        <f t="shared" si="2"/>
        <v>204042434</v>
      </c>
      <c r="F14" s="30">
        <f>'TYT xã _2020_Quý IV (4)'!F14+'TYT xã _2020_Quý III (3)'!F14+'TYT xã _2020_Quý II (2)'!F14+'TYT xã _2020_Quý I'!F14</f>
        <v>0</v>
      </c>
      <c r="G14" s="30">
        <f>'TYT xã _2020_Quý IV (4)'!G14+'TYT xã _2020_Quý III (3)'!G14+'TYT xã _2020_Quý II (2)'!G14+'TYT xã _2020_Quý I'!G14</f>
        <v>128945196</v>
      </c>
      <c r="H14" s="30">
        <f>'TYT xã _2020_Quý IV (4)'!H14+'TYT xã _2020_Quý III (3)'!H14+'TYT xã _2020_Quý II (2)'!H14+'TYT xã _2020_Quý I'!H14</f>
        <v>1362200</v>
      </c>
      <c r="I14" s="30">
        <f>'TYT xã _2020_Quý IV (4)'!I14+'TYT xã _2020_Quý III (3)'!I14+'TYT xã _2020_Quý II (2)'!I14+'TYT xã _2020_Quý I'!I14</f>
        <v>240938</v>
      </c>
      <c r="J14" s="30">
        <f>'TYT xã _2020_Quý IV (4)'!J14+'TYT xã _2020_Quý III (3)'!J14+'TYT xã _2020_Quý II (2)'!J14+'TYT xã _2020_Quý I'!J14</f>
        <v>4609600</v>
      </c>
      <c r="K14" s="30">
        <f>'TYT xã _2020_Quý IV (4)'!K14+'TYT xã _2020_Quý III (3)'!K14+'TYT xã _2020_Quý II (2)'!K14+'TYT xã _2020_Quý I'!K14</f>
        <v>2912000</v>
      </c>
      <c r="L14" s="30">
        <f>'TYT xã _2020_Quý IV (4)'!L14+'TYT xã _2020_Quý III (3)'!L14+'TYT xã _2020_Quý II (2)'!L14+'TYT xã _2020_Quý I'!L14</f>
        <v>65972500</v>
      </c>
      <c r="M14" s="29">
        <f t="shared" si="0"/>
        <v>188220706</v>
      </c>
      <c r="N14" s="30">
        <f>'TYT xã _2020_Quý IV (4)'!N14+'TYT xã _2020_Quý III (3)'!N14+'TYT xã _2020_Quý II (2)'!N14+'TYT xã _2020_Quý I'!N14</f>
        <v>128945196</v>
      </c>
      <c r="O14" s="30">
        <f>'TYT xã _2020_Quý IV (4)'!O14+'TYT xã _2020_Quý III (3)'!O14+'TYT xã _2020_Quý II (2)'!O14+'TYT xã _2020_Quý I'!O14</f>
        <v>50576900</v>
      </c>
      <c r="P14" s="30">
        <f>'TYT xã _2020_Quý IV (4)'!P14+'TYT xã _2020_Quý III (3)'!P14+'TYT xã _2020_Quý II (2)'!P14+'TYT xã _2020_Quý I'!P14</f>
        <v>1992100</v>
      </c>
      <c r="Q14" s="30">
        <f>'TYT xã _2020_Quý IV (4)'!Q14+'TYT xã _2020_Quý III (3)'!Q14+'TYT xã _2020_Quý II (2)'!Q14+'TYT xã _2020_Quý I'!Q14</f>
        <v>1351600</v>
      </c>
      <c r="R14" s="59">
        <f>'TYT xã _2020_Quý IV (4)'!R14+'TYT xã _2020_Quý III (3)'!R14+'TYT xã _2020_Quý II (2)'!R14+'TYT xã _2020_Quý I'!R14</f>
        <v>5354910</v>
      </c>
      <c r="S14" s="29">
        <f t="shared" si="1"/>
        <v>15821728</v>
      </c>
      <c r="T14" s="29">
        <f t="shared" si="3"/>
        <v>5537604.7999999998</v>
      </c>
      <c r="U14" s="29">
        <f t="shared" si="4"/>
        <v>10284123.199999999</v>
      </c>
      <c r="V14" s="15"/>
      <c r="X14" s="12"/>
    </row>
    <row r="15" spans="1:24" ht="21.75" customHeight="1">
      <c r="A15" s="13">
        <v>7</v>
      </c>
      <c r="B15" s="14" t="s">
        <v>17</v>
      </c>
      <c r="C15" s="28">
        <f>'TYT xã _2020_Quý IV (4)'!C15+'TYT xã _2020_Quý III (3)'!C15+'TYT xã _2020_Quý II (2)'!C15+'TYT xã _2020_Quý I'!C15</f>
        <v>2581</v>
      </c>
      <c r="D15" s="28">
        <f>'TYT xã _2020_Quý IV (4)'!D15+'TYT xã _2020_Quý III (3)'!D15+'TYT xã _2020_Quý II (2)'!D15+'TYT xã _2020_Quý I'!D15</f>
        <v>0</v>
      </c>
      <c r="E15" s="29">
        <f t="shared" si="2"/>
        <v>260077680</v>
      </c>
      <c r="F15" s="30">
        <f>'TYT xã _2020_Quý IV (4)'!F15+'TYT xã _2020_Quý III (3)'!F15+'TYT xã _2020_Quý II (2)'!F15+'TYT xã _2020_Quý I'!F15</f>
        <v>0</v>
      </c>
      <c r="G15" s="30">
        <f>'TYT xã _2020_Quý IV (4)'!G15+'TYT xã _2020_Quý III (3)'!G15+'TYT xã _2020_Quý II (2)'!G15+'TYT xã _2020_Quý I'!G15</f>
        <v>187574680</v>
      </c>
      <c r="H15" s="30">
        <f>'TYT xã _2020_Quý IV (4)'!H15+'TYT xã _2020_Quý III (3)'!H15+'TYT xã _2020_Quý II (2)'!H15+'TYT xã _2020_Quý I'!H15</f>
        <v>0</v>
      </c>
      <c r="I15" s="30">
        <f>'TYT xã _2020_Quý IV (4)'!I15+'TYT xã _2020_Quý III (3)'!I15+'TYT xã _2020_Quý II (2)'!I15+'TYT xã _2020_Quý I'!I15</f>
        <v>0</v>
      </c>
      <c r="J15" s="30">
        <f>'TYT xã _2020_Quý IV (4)'!J15+'TYT xã _2020_Quý III (3)'!J15+'TYT xã _2020_Quý II (2)'!J15+'TYT xã _2020_Quý I'!J15</f>
        <v>1608000</v>
      </c>
      <c r="K15" s="30">
        <f>'TYT xã _2020_Quý IV (4)'!K15+'TYT xã _2020_Quý III (3)'!K15+'TYT xã _2020_Quý II (2)'!K15+'TYT xã _2020_Quý I'!K15</f>
        <v>0</v>
      </c>
      <c r="L15" s="30">
        <f>'TYT xã _2020_Quý IV (4)'!L15+'TYT xã _2020_Quý III (3)'!L15+'TYT xã _2020_Quý II (2)'!L15+'TYT xã _2020_Quý I'!L15</f>
        <v>70895000</v>
      </c>
      <c r="M15" s="29">
        <f t="shared" si="0"/>
        <v>244876430</v>
      </c>
      <c r="N15" s="30">
        <f>'TYT xã _2020_Quý IV (4)'!N15+'TYT xã _2020_Quý III (3)'!N15+'TYT xã _2020_Quý II (2)'!N15+'TYT xã _2020_Quý I'!N15</f>
        <v>187574680</v>
      </c>
      <c r="O15" s="30">
        <f>'TYT xã _2020_Quý IV (4)'!O15+'TYT xã _2020_Quý III (3)'!O15+'TYT xã _2020_Quý II (2)'!O15+'TYT xã _2020_Quý I'!O15</f>
        <v>52849000</v>
      </c>
      <c r="P15" s="30">
        <f>'TYT xã _2020_Quý IV (4)'!P15+'TYT xã _2020_Quý III (3)'!P15+'TYT xã _2020_Quý II (2)'!P15+'TYT xã _2020_Quý I'!P15</f>
        <v>192600</v>
      </c>
      <c r="Q15" s="30">
        <f>'TYT xã _2020_Quý IV (4)'!Q15+'TYT xã _2020_Quý III (3)'!Q15+'TYT xã _2020_Quý II (2)'!Q15+'TYT xã _2020_Quý I'!Q15</f>
        <v>1424250</v>
      </c>
      <c r="R15" s="59">
        <f>'TYT xã _2020_Quý IV (4)'!R15+'TYT xã _2020_Quý III (3)'!R15+'TYT xã _2020_Quý II (2)'!R15+'TYT xã _2020_Quý I'!R15</f>
        <v>2835900</v>
      </c>
      <c r="S15" s="29">
        <f t="shared" si="1"/>
        <v>15201250</v>
      </c>
      <c r="T15" s="29">
        <f t="shared" si="3"/>
        <v>5320437.5</v>
      </c>
      <c r="U15" s="29">
        <f t="shared" si="4"/>
        <v>9880812.5</v>
      </c>
      <c r="V15" s="15"/>
      <c r="X15" s="12"/>
    </row>
    <row r="16" spans="1:24" ht="21.75" customHeight="1">
      <c r="A16" s="13">
        <v>8</v>
      </c>
      <c r="B16" s="14" t="s">
        <v>18</v>
      </c>
      <c r="C16" s="28">
        <f>'TYT xã _2020_Quý IV (4)'!C16+'TYT xã _2020_Quý III (3)'!C16+'TYT xã _2020_Quý II (2)'!C16+'TYT xã _2020_Quý I'!C16</f>
        <v>1715</v>
      </c>
      <c r="D16" s="28">
        <f>'TYT xã _2020_Quý IV (4)'!D16+'TYT xã _2020_Quý III (3)'!D16+'TYT xã _2020_Quý II (2)'!D16+'TYT xã _2020_Quý I'!D16</f>
        <v>0</v>
      </c>
      <c r="E16" s="29">
        <f t="shared" si="2"/>
        <v>138098351</v>
      </c>
      <c r="F16" s="30">
        <f>'TYT xã _2020_Quý IV (4)'!F16+'TYT xã _2020_Quý III (3)'!F16+'TYT xã _2020_Quý II (2)'!F16+'TYT xã _2020_Quý I'!F16</f>
        <v>0</v>
      </c>
      <c r="G16" s="30">
        <f>'TYT xã _2020_Quý IV (4)'!G16+'TYT xã _2020_Quý III (3)'!G16+'TYT xã _2020_Quý II (2)'!G16+'TYT xã _2020_Quý I'!G16</f>
        <v>87266713</v>
      </c>
      <c r="H16" s="30">
        <f>'TYT xã _2020_Quý IV (4)'!H16+'TYT xã _2020_Quý III (3)'!H16+'TYT xã _2020_Quý II (2)'!H16+'TYT xã _2020_Quý I'!H16</f>
        <v>1976800</v>
      </c>
      <c r="I16" s="30">
        <f>'TYT xã _2020_Quý IV (4)'!I16+'TYT xã _2020_Quý III (3)'!I16+'TYT xã _2020_Quý II (2)'!I16+'TYT xã _2020_Quý I'!I16</f>
        <v>13338</v>
      </c>
      <c r="J16" s="30">
        <f>'TYT xã _2020_Quý IV (4)'!J16+'TYT xã _2020_Quý III (3)'!J16+'TYT xã _2020_Quý II (2)'!J16+'TYT xã _2020_Quý I'!J16</f>
        <v>1340000</v>
      </c>
      <c r="K16" s="30">
        <f>'TYT xã _2020_Quý IV (4)'!K16+'TYT xã _2020_Quý III (3)'!K16+'TYT xã _2020_Quý II (2)'!K16+'TYT xã _2020_Quý I'!K16</f>
        <v>504000</v>
      </c>
      <c r="L16" s="30">
        <f>'TYT xã _2020_Quý IV (4)'!L16+'TYT xã _2020_Quý III (3)'!L16+'TYT xã _2020_Quý II (2)'!L16+'TYT xã _2020_Quý I'!L16</f>
        <v>46997500</v>
      </c>
      <c r="M16" s="29">
        <f t="shared" si="0"/>
        <v>126227183</v>
      </c>
      <c r="N16" s="30">
        <f>'TYT xã _2020_Quý IV (4)'!N16+'TYT xã _2020_Quý III (3)'!N16+'TYT xã _2020_Quý II (2)'!N16+'TYT xã _2020_Quý I'!N16</f>
        <v>87266713</v>
      </c>
      <c r="O16" s="30">
        <f>'TYT xã _2020_Quý IV (4)'!O16+'TYT xã _2020_Quý III (3)'!O16+'TYT xã _2020_Quý II (2)'!O16+'TYT xã _2020_Quý I'!O16</f>
        <v>35621700</v>
      </c>
      <c r="P16" s="30">
        <f>'TYT xã _2020_Quý IV (4)'!P16+'TYT xã _2020_Quý III (3)'!P16+'TYT xã _2020_Quý II (2)'!P16+'TYT xã _2020_Quý I'!P16</f>
        <v>323400</v>
      </c>
      <c r="Q16" s="30">
        <f>'TYT xã _2020_Quý IV (4)'!Q16+'TYT xã _2020_Quý III (3)'!Q16+'TYT xã _2020_Quý II (2)'!Q16+'TYT xã _2020_Quý I'!Q16</f>
        <v>1209870</v>
      </c>
      <c r="R16" s="59">
        <f>'TYT xã _2020_Quý IV (4)'!R16+'TYT xã _2020_Quý III (3)'!R16+'TYT xã _2020_Quý II (2)'!R16+'TYT xã _2020_Quý I'!R16</f>
        <v>1805500</v>
      </c>
      <c r="S16" s="29">
        <f t="shared" si="1"/>
        <v>11871168</v>
      </c>
      <c r="T16" s="29">
        <f t="shared" si="3"/>
        <v>4154908.8</v>
      </c>
      <c r="U16" s="29">
        <f t="shared" si="4"/>
        <v>7716259.2000000002</v>
      </c>
      <c r="V16" s="15"/>
      <c r="X16" s="12"/>
    </row>
    <row r="17" spans="1:24" ht="21.75" customHeight="1">
      <c r="A17" s="13">
        <v>9</v>
      </c>
      <c r="B17" s="14" t="s">
        <v>19</v>
      </c>
      <c r="C17" s="28">
        <f>'TYT xã _2020_Quý IV (4)'!C17+'TYT xã _2020_Quý III (3)'!C17+'TYT xã _2020_Quý II (2)'!C17+'TYT xã _2020_Quý I'!C17</f>
        <v>2996</v>
      </c>
      <c r="D17" s="28">
        <f>'TYT xã _2020_Quý IV (4)'!D17+'TYT xã _2020_Quý III (3)'!D17+'TYT xã _2020_Quý II (2)'!D17+'TYT xã _2020_Quý I'!D17</f>
        <v>0</v>
      </c>
      <c r="E17" s="29">
        <f t="shared" si="2"/>
        <v>245284418</v>
      </c>
      <c r="F17" s="30">
        <f>'TYT xã _2020_Quý IV (4)'!F17+'TYT xã _2020_Quý III (3)'!F17+'TYT xã _2020_Quý II (2)'!F17+'TYT xã _2020_Quý I'!F17</f>
        <v>0</v>
      </c>
      <c r="G17" s="30">
        <f>'TYT xã _2020_Quý IV (4)'!G17+'TYT xã _2020_Quý III (3)'!G17+'TYT xã _2020_Quý II (2)'!G17+'TYT xã _2020_Quý I'!G17</f>
        <v>160291418</v>
      </c>
      <c r="H17" s="30">
        <f>'TYT xã _2020_Quý IV (4)'!H17+'TYT xã _2020_Quý III (3)'!H17+'TYT xã _2020_Quý II (2)'!H17+'TYT xã _2020_Quý I'!H17</f>
        <v>618800</v>
      </c>
      <c r="I17" s="30">
        <f>'TYT xã _2020_Quý IV (4)'!I17+'TYT xã _2020_Quý III (3)'!I17+'TYT xã _2020_Quý II (2)'!I17+'TYT xã _2020_Quý I'!I17</f>
        <v>0</v>
      </c>
      <c r="J17" s="30">
        <f>'TYT xã _2020_Quý IV (4)'!J17+'TYT xã _2020_Quý III (3)'!J17+'TYT xã _2020_Quý II (2)'!J17+'TYT xã _2020_Quý I'!J17</f>
        <v>1983200</v>
      </c>
      <c r="K17" s="30">
        <f>'TYT xã _2020_Quý IV (4)'!K17+'TYT xã _2020_Quý III (3)'!K17+'TYT xã _2020_Quý II (2)'!K17+'TYT xã _2020_Quý I'!K17</f>
        <v>56000</v>
      </c>
      <c r="L17" s="30">
        <f>'TYT xã _2020_Quý IV (4)'!L17+'TYT xã _2020_Quý III (3)'!L17+'TYT xã _2020_Quý II (2)'!L17+'TYT xã _2020_Quý I'!L17</f>
        <v>82335000</v>
      </c>
      <c r="M17" s="29">
        <f t="shared" si="0"/>
        <v>233254170</v>
      </c>
      <c r="N17" s="30">
        <f>'TYT xã _2020_Quý IV (4)'!N17+'TYT xã _2020_Quý III (3)'!N17+'TYT xã _2020_Quý II (2)'!N17+'TYT xã _2020_Quý I'!N17</f>
        <v>160291418</v>
      </c>
      <c r="O17" s="30">
        <f>'TYT xã _2020_Quý IV (4)'!O17+'TYT xã _2020_Quý III (3)'!O17+'TYT xã _2020_Quý II (2)'!O17+'TYT xã _2020_Quý I'!O17</f>
        <v>61515900</v>
      </c>
      <c r="P17" s="30">
        <f>'TYT xã _2020_Quý IV (4)'!P17+'TYT xã _2020_Quý III (3)'!P17+'TYT xã _2020_Quý II (2)'!P17+'TYT xã _2020_Quý I'!P17</f>
        <v>2810300</v>
      </c>
      <c r="Q17" s="30">
        <f>'TYT xã _2020_Quý IV (4)'!Q17+'TYT xã _2020_Quý III (3)'!Q17+'TYT xã _2020_Quý II (2)'!Q17+'TYT xã _2020_Quý I'!Q17</f>
        <v>5185602</v>
      </c>
      <c r="R17" s="59">
        <f>'TYT xã _2020_Quý IV (4)'!R17+'TYT xã _2020_Quý III (3)'!R17+'TYT xã _2020_Quý II (2)'!R17+'TYT xã _2020_Quý I'!R17</f>
        <v>3450950</v>
      </c>
      <c r="S17" s="29">
        <f t="shared" si="1"/>
        <v>12030248</v>
      </c>
      <c r="T17" s="29">
        <f t="shared" si="3"/>
        <v>4210586.8</v>
      </c>
      <c r="U17" s="29">
        <f t="shared" si="4"/>
        <v>7819661.2000000002</v>
      </c>
      <c r="V17" s="15"/>
      <c r="X17" s="12"/>
    </row>
    <row r="18" spans="1:24" ht="21.75" customHeight="1">
      <c r="A18" s="13">
        <v>10</v>
      </c>
      <c r="B18" s="14" t="s">
        <v>20</v>
      </c>
      <c r="C18" s="28">
        <f>'TYT xã _2020_Quý IV (4)'!C18+'TYT xã _2020_Quý III (3)'!C18+'TYT xã _2020_Quý II (2)'!C18+'TYT xã _2020_Quý I'!C18</f>
        <v>2463</v>
      </c>
      <c r="D18" s="28">
        <f>'TYT xã _2020_Quý IV (4)'!D18+'TYT xã _2020_Quý III (3)'!D18+'TYT xã _2020_Quý II (2)'!D18+'TYT xã _2020_Quý I'!D18</f>
        <v>0</v>
      </c>
      <c r="E18" s="29">
        <f t="shared" si="2"/>
        <v>211353969</v>
      </c>
      <c r="F18" s="30">
        <f>'TYT xã _2020_Quý IV (4)'!F18+'TYT xã _2020_Quý III (3)'!F18+'TYT xã _2020_Quý II (2)'!F18+'TYT xã _2020_Quý I'!F18</f>
        <v>0</v>
      </c>
      <c r="G18" s="30">
        <f>'TYT xã _2020_Quý IV (4)'!G18+'TYT xã _2020_Quý III (3)'!G18+'TYT xã _2020_Quý II (2)'!G18+'TYT xã _2020_Quý I'!G18</f>
        <v>139843369</v>
      </c>
      <c r="H18" s="30">
        <f>'TYT xã _2020_Quý IV (4)'!H18+'TYT xã _2020_Quý III (3)'!H18+'TYT xã _2020_Quý II (2)'!H18+'TYT xã _2020_Quý I'!H18</f>
        <v>0</v>
      </c>
      <c r="I18" s="30">
        <f>'TYT xã _2020_Quý IV (4)'!I18+'TYT xã _2020_Quý III (3)'!I18+'TYT xã _2020_Quý II (2)'!I18+'TYT xã _2020_Quý I'!I18</f>
        <v>0</v>
      </c>
      <c r="J18" s="30">
        <f>'TYT xã _2020_Quý IV (4)'!J18+'TYT xã _2020_Quý III (3)'!J18+'TYT xã _2020_Quý II (2)'!J18+'TYT xã _2020_Quý I'!J18</f>
        <v>3805600</v>
      </c>
      <c r="K18" s="30">
        <f>'TYT xã _2020_Quý IV (4)'!K18+'TYT xã _2020_Quý III (3)'!K18+'TYT xã _2020_Quý II (2)'!K18+'TYT xã _2020_Quý I'!K18</f>
        <v>0</v>
      </c>
      <c r="L18" s="30">
        <f>'TYT xã _2020_Quý IV (4)'!L18+'TYT xã _2020_Quý III (3)'!L18+'TYT xã _2020_Quý II (2)'!L18+'TYT xã _2020_Quý I'!L18</f>
        <v>67705000</v>
      </c>
      <c r="M18" s="29">
        <f t="shared" si="0"/>
        <v>199955189</v>
      </c>
      <c r="N18" s="30">
        <f>'TYT xã _2020_Quý IV (4)'!N18+'TYT xã _2020_Quý III (3)'!N18+'TYT xã _2020_Quý II (2)'!N18+'TYT xã _2020_Quý I'!N18</f>
        <v>139843369</v>
      </c>
      <c r="O18" s="30">
        <f>'TYT xã _2020_Quý IV (4)'!O18+'TYT xã _2020_Quý III (3)'!O18+'TYT xã _2020_Quý II (2)'!O18+'TYT xã _2020_Quý I'!O18</f>
        <v>50471000</v>
      </c>
      <c r="P18" s="30">
        <f>'TYT xã _2020_Quý IV (4)'!P18+'TYT xã _2020_Quý III (3)'!P18+'TYT xã _2020_Quý II (2)'!P18+'TYT xã _2020_Quý I'!P18</f>
        <v>2021600</v>
      </c>
      <c r="Q18" s="30">
        <f>'TYT xã _2020_Quý IV (4)'!Q18+'TYT xã _2020_Quý III (3)'!Q18+'TYT xã _2020_Quý II (2)'!Q18+'TYT xã _2020_Quý I'!Q18</f>
        <v>4285720</v>
      </c>
      <c r="R18" s="59">
        <f>'TYT xã _2020_Quý IV (4)'!R18+'TYT xã _2020_Quý III (3)'!R18+'TYT xã _2020_Quý II (2)'!R18+'TYT xã _2020_Quý I'!R18</f>
        <v>3333500</v>
      </c>
      <c r="S18" s="29">
        <f t="shared" si="1"/>
        <v>11398780</v>
      </c>
      <c r="T18" s="29">
        <f t="shared" si="3"/>
        <v>3989572.9999999995</v>
      </c>
      <c r="U18" s="29">
        <f t="shared" si="4"/>
        <v>7409207</v>
      </c>
      <c r="V18" s="15"/>
      <c r="X18" s="12"/>
    </row>
    <row r="19" spans="1:24" ht="21" customHeight="1">
      <c r="A19" s="13">
        <v>11</v>
      </c>
      <c r="B19" s="14" t="s">
        <v>21</v>
      </c>
      <c r="C19" s="28">
        <f>'TYT xã _2020_Quý IV (4)'!C19+'TYT xã _2020_Quý III (3)'!C19+'TYT xã _2020_Quý II (2)'!C19+'TYT xã _2020_Quý I'!C19</f>
        <v>1500</v>
      </c>
      <c r="D19" s="28">
        <f>'TYT xã _2020_Quý IV (4)'!D19+'TYT xã _2020_Quý III (3)'!D19+'TYT xã _2020_Quý II (2)'!D19+'TYT xã _2020_Quý I'!D19</f>
        <v>0</v>
      </c>
      <c r="E19" s="29">
        <f t="shared" si="2"/>
        <v>122491454</v>
      </c>
      <c r="F19" s="30">
        <f>'TYT xã _2020_Quý IV (4)'!F19+'TYT xã _2020_Quý III (3)'!F19+'TYT xã _2020_Quý II (2)'!F19+'TYT xã _2020_Quý I'!F19</f>
        <v>0</v>
      </c>
      <c r="G19" s="30">
        <f>'TYT xã _2020_Quý IV (4)'!G19+'TYT xã _2020_Quý III (3)'!G19+'TYT xã _2020_Quý II (2)'!G19+'TYT xã _2020_Quý I'!G19</f>
        <v>80383854</v>
      </c>
      <c r="H19" s="30">
        <f>'TYT xã _2020_Quý IV (4)'!H19+'TYT xã _2020_Quý III (3)'!H19+'TYT xã _2020_Quý II (2)'!H19+'TYT xã _2020_Quý I'!H19</f>
        <v>0</v>
      </c>
      <c r="I19" s="30">
        <f>'TYT xã _2020_Quý IV (4)'!I19+'TYT xã _2020_Quý III (3)'!I19+'TYT xã _2020_Quý II (2)'!I19+'TYT xã _2020_Quý I'!I19</f>
        <v>0</v>
      </c>
      <c r="J19" s="30">
        <f>'TYT xã _2020_Quý IV (4)'!J19+'TYT xã _2020_Quý III (3)'!J19+'TYT xã _2020_Quý II (2)'!J19+'TYT xã _2020_Quý I'!J19</f>
        <v>857600</v>
      </c>
      <c r="K19" s="30">
        <f>'TYT xã _2020_Quý IV (4)'!K19+'TYT xã _2020_Quý III (3)'!K19+'TYT xã _2020_Quý II (2)'!K19+'TYT xã _2020_Quý I'!K19</f>
        <v>0</v>
      </c>
      <c r="L19" s="30">
        <f>'TYT xã _2020_Quý IV (4)'!L19+'TYT xã _2020_Quý III (3)'!L19+'TYT xã _2020_Quý II (2)'!L19+'TYT xã _2020_Quý I'!L19</f>
        <v>41250000</v>
      </c>
      <c r="M19" s="29">
        <f t="shared" si="0"/>
        <v>116871015</v>
      </c>
      <c r="N19" s="30">
        <f>'TYT xã _2020_Quý IV (4)'!N19+'TYT xã _2020_Quý III (3)'!N19+'TYT xã _2020_Quý II (2)'!N19+'TYT xã _2020_Quý I'!N19</f>
        <v>80383854</v>
      </c>
      <c r="O19" s="30">
        <f>'TYT xã _2020_Quý IV (4)'!O19+'TYT xã _2020_Quý III (3)'!O19+'TYT xã _2020_Quý II (2)'!O19+'TYT xã _2020_Quý I'!O19</f>
        <v>30750000</v>
      </c>
      <c r="P19" s="30">
        <f>'TYT xã _2020_Quý IV (4)'!P19+'TYT xã _2020_Quý III (3)'!P19+'TYT xã _2020_Quý II (2)'!P19+'TYT xã _2020_Quý I'!P19</f>
        <v>655860</v>
      </c>
      <c r="Q19" s="30">
        <f>'TYT xã _2020_Quý IV (4)'!Q19+'TYT xã _2020_Quý III (3)'!Q19+'TYT xã _2020_Quý II (2)'!Q19+'TYT xã _2020_Quý I'!Q19</f>
        <v>3535051</v>
      </c>
      <c r="R19" s="59">
        <f>'TYT xã _2020_Quý IV (4)'!R19+'TYT xã _2020_Quý III (3)'!R19+'TYT xã _2020_Quý II (2)'!R19+'TYT xã _2020_Quý I'!R19</f>
        <v>1546250</v>
      </c>
      <c r="S19" s="29">
        <f t="shared" si="1"/>
        <v>5620439</v>
      </c>
      <c r="T19" s="29">
        <f t="shared" si="3"/>
        <v>1967153.65</v>
      </c>
      <c r="U19" s="29">
        <f t="shared" si="4"/>
        <v>3653285.35</v>
      </c>
      <c r="V19" s="15"/>
      <c r="X19" s="12"/>
    </row>
    <row r="20" spans="1:24" ht="21.75" customHeight="1">
      <c r="A20" s="13">
        <v>12</v>
      </c>
      <c r="B20" s="14" t="s">
        <v>22</v>
      </c>
      <c r="C20" s="28">
        <f>'TYT xã _2020_Quý IV (4)'!C20+'TYT xã _2020_Quý III (3)'!C20+'TYT xã _2020_Quý II (2)'!C20+'TYT xã _2020_Quý I'!C20</f>
        <v>1439</v>
      </c>
      <c r="D20" s="28">
        <f>'TYT xã _2020_Quý IV (4)'!D20+'TYT xã _2020_Quý III (3)'!D20+'TYT xã _2020_Quý II (2)'!D20+'TYT xã _2020_Quý I'!D20</f>
        <v>0</v>
      </c>
      <c r="E20" s="29">
        <f t="shared" si="2"/>
        <v>119029138</v>
      </c>
      <c r="F20" s="30">
        <f>'TYT xã _2020_Quý IV (4)'!F20+'TYT xã _2020_Quý III (3)'!F20+'TYT xã _2020_Quý II (2)'!F20+'TYT xã _2020_Quý I'!F20</f>
        <v>0</v>
      </c>
      <c r="G20" s="30">
        <f>'TYT xã _2020_Quý IV (4)'!G20+'TYT xã _2020_Quý III (3)'!G20+'TYT xã _2020_Quý II (2)'!G20+'TYT xã _2020_Quý I'!G20</f>
        <v>75544838</v>
      </c>
      <c r="H20" s="30">
        <f>'TYT xã _2020_Quý IV (4)'!H20+'TYT xã _2020_Quý III (3)'!H20+'TYT xã _2020_Quý II (2)'!H20+'TYT xã _2020_Quý I'!H20</f>
        <v>2912700</v>
      </c>
      <c r="I20" s="30">
        <f>'TYT xã _2020_Quý IV (4)'!I20+'TYT xã _2020_Quý III (3)'!I20+'TYT xã _2020_Quý II (2)'!I20+'TYT xã _2020_Quý I'!I20</f>
        <v>0</v>
      </c>
      <c r="J20" s="30">
        <f>'TYT xã _2020_Quý IV (4)'!J20+'TYT xã _2020_Quý III (3)'!J20+'TYT xã _2020_Quý II (2)'!J20+'TYT xã _2020_Quý I'!J20</f>
        <v>857600</v>
      </c>
      <c r="K20" s="30">
        <f>'TYT xã _2020_Quý IV (4)'!K20+'TYT xã _2020_Quý III (3)'!K20+'TYT xã _2020_Quý II (2)'!K20+'TYT xã _2020_Quý I'!K20</f>
        <v>224000</v>
      </c>
      <c r="L20" s="30">
        <f>'TYT xã _2020_Quý IV (4)'!L20+'TYT xã _2020_Quý III (3)'!L20+'TYT xã _2020_Quý II (2)'!L20+'TYT xã _2020_Quý I'!L20</f>
        <v>39490000</v>
      </c>
      <c r="M20" s="29">
        <f t="shared" si="0"/>
        <v>108672808</v>
      </c>
      <c r="N20" s="30">
        <f>'TYT xã _2020_Quý IV (4)'!N20+'TYT xã _2020_Quý III (3)'!N20+'TYT xã _2020_Quý II (2)'!N20+'TYT xã _2020_Quý I'!N20</f>
        <v>75544838</v>
      </c>
      <c r="O20" s="30">
        <f>'TYT xã _2020_Quý IV (4)'!O20+'TYT xã _2020_Quý III (3)'!O20+'TYT xã _2020_Quý II (2)'!O20+'TYT xã _2020_Quý I'!O20</f>
        <v>30034900</v>
      </c>
      <c r="P20" s="30">
        <f>'TYT xã _2020_Quý IV (4)'!P20+'TYT xã _2020_Quý III (3)'!P20+'TYT xã _2020_Quý II (2)'!P20+'TYT xã _2020_Quý I'!P20</f>
        <v>119100</v>
      </c>
      <c r="Q20" s="30">
        <f>'TYT xã _2020_Quý IV (4)'!Q20+'TYT xã _2020_Quý III (3)'!Q20+'TYT xã _2020_Quý II (2)'!Q20+'TYT xã _2020_Quý I'!Q20</f>
        <v>1778470</v>
      </c>
      <c r="R20" s="59">
        <f>'TYT xã _2020_Quý IV (4)'!R20+'TYT xã _2020_Quý III (3)'!R20+'TYT xã _2020_Quý II (2)'!R20+'TYT xã _2020_Quý I'!R20</f>
        <v>1195500</v>
      </c>
      <c r="S20" s="29">
        <f t="shared" si="1"/>
        <v>10356330</v>
      </c>
      <c r="T20" s="29">
        <f t="shared" si="3"/>
        <v>3624715.5</v>
      </c>
      <c r="U20" s="29">
        <f t="shared" si="4"/>
        <v>6731614.5</v>
      </c>
      <c r="V20" s="15"/>
      <c r="X20" s="12"/>
    </row>
    <row r="21" spans="1:24" ht="21.75" customHeight="1">
      <c r="A21" s="16"/>
      <c r="B21" s="18" t="s">
        <v>10</v>
      </c>
      <c r="C21" s="32">
        <f>SUM(C9:C20)</f>
        <v>24584</v>
      </c>
      <c r="D21" s="32">
        <f t="shared" ref="D21" si="5">SUM(D9:D20)</f>
        <v>0</v>
      </c>
      <c r="E21" s="33">
        <f>SUM(E9:E20)</f>
        <v>2136318432</v>
      </c>
      <c r="F21" s="33">
        <f t="shared" ref="F21:U21" si="6">SUM(F9:F20)</f>
        <v>0</v>
      </c>
      <c r="G21" s="33">
        <f t="shared" si="6"/>
        <v>1423234756</v>
      </c>
      <c r="H21" s="33">
        <f t="shared" si="6"/>
        <v>9713900</v>
      </c>
      <c r="I21" s="33">
        <f t="shared" si="6"/>
        <v>254276</v>
      </c>
      <c r="J21" s="33">
        <f t="shared" si="6"/>
        <v>24924000</v>
      </c>
      <c r="K21" s="33">
        <f t="shared" si="6"/>
        <v>3864000</v>
      </c>
      <c r="L21" s="33">
        <f t="shared" si="6"/>
        <v>674327500</v>
      </c>
      <c r="M21" s="33">
        <f t="shared" si="6"/>
        <v>2001020606</v>
      </c>
      <c r="N21" s="33">
        <f t="shared" si="6"/>
        <v>1423234756</v>
      </c>
      <c r="O21" s="33">
        <f t="shared" si="6"/>
        <v>505976500</v>
      </c>
      <c r="P21" s="33">
        <f t="shared" si="6"/>
        <v>9892180</v>
      </c>
      <c r="Q21" s="33">
        <f t="shared" si="6"/>
        <v>27570850</v>
      </c>
      <c r="R21" s="33">
        <f t="shared" si="6"/>
        <v>34346320</v>
      </c>
      <c r="S21" s="33">
        <f t="shared" si="6"/>
        <v>135297826</v>
      </c>
      <c r="T21" s="33">
        <f t="shared" si="6"/>
        <v>47354239.099999994</v>
      </c>
      <c r="U21" s="33">
        <f t="shared" si="6"/>
        <v>87943586.900000006</v>
      </c>
      <c r="V21" s="17"/>
      <c r="W21" s="3"/>
    </row>
    <row r="22" spans="1:24" s="19" customFormat="1" ht="28.15" customHeight="1">
      <c r="B22" s="19" t="s">
        <v>169</v>
      </c>
      <c r="L22" s="58"/>
      <c r="Q22" s="20"/>
    </row>
    <row r="23" spans="1:24" s="4" customFormat="1" ht="18.75">
      <c r="H23" s="5"/>
      <c r="P23" s="5"/>
      <c r="Q23" s="1" t="s">
        <v>65</v>
      </c>
    </row>
    <row r="24" spans="1:24" s="6" customFormat="1" ht="18.75">
      <c r="D24" s="11" t="s">
        <v>1</v>
      </c>
      <c r="L24" s="11" t="s">
        <v>2</v>
      </c>
      <c r="O24" s="9"/>
      <c r="P24" s="7"/>
      <c r="Q24" s="7"/>
      <c r="R24" s="6" t="s">
        <v>3</v>
      </c>
      <c r="T24" s="7"/>
    </row>
    <row r="25" spans="1:24">
      <c r="D25" s="21" t="s">
        <v>4</v>
      </c>
      <c r="L25" s="21" t="s">
        <v>4</v>
      </c>
      <c r="M25" s="21"/>
      <c r="R25" s="8" t="s">
        <v>5</v>
      </c>
      <c r="S25" s="8"/>
    </row>
    <row r="26" spans="1:24">
      <c r="G26" s="42"/>
    </row>
  </sheetData>
  <mergeCells count="12">
    <mergeCell ref="V6:V7"/>
    <mergeCell ref="A6:A7"/>
    <mergeCell ref="B6:B7"/>
    <mergeCell ref="C6:C7"/>
    <mergeCell ref="D6:D7"/>
    <mergeCell ref="E6:E7"/>
    <mergeCell ref="F6:L6"/>
    <mergeCell ref="M6:M7"/>
    <mergeCell ref="N6:R6"/>
    <mergeCell ref="S6:S7"/>
    <mergeCell ref="T6:T7"/>
    <mergeCell ref="U6:U7"/>
  </mergeCells>
  <pageMargins left="0.2" right="0.2" top="0.2" bottom="0.2" header="0.2" footer="0.31496062992125984"/>
  <pageSetup paperSize="9" scale="8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A8" workbookViewId="0">
      <selection activeCell="H21" sqref="H21:K21"/>
    </sheetView>
  </sheetViews>
  <sheetFormatPr defaultColWidth="9" defaultRowHeight="18"/>
  <cols>
    <col min="1" max="1" width="4.375" style="2" customWidth="1"/>
    <col min="2" max="2" width="9.25" style="2" customWidth="1"/>
    <col min="3" max="3" width="6.5" style="2" customWidth="1"/>
    <col min="4" max="4" width="3.75" style="2" customWidth="1"/>
    <col min="5" max="5" width="9.25" style="2" customWidth="1"/>
    <col min="6" max="6" width="5.25" style="2" customWidth="1"/>
    <col min="7" max="7" width="9.5" style="2" customWidth="1"/>
    <col min="8" max="8" width="8.5" style="2" customWidth="1"/>
    <col min="9" max="11" width="6.25" style="2" customWidth="1"/>
    <col min="12" max="12" width="8.625" style="2" customWidth="1"/>
    <col min="13" max="13" width="9.375" style="2" customWidth="1"/>
    <col min="14" max="14" width="9.5" style="2" customWidth="1"/>
    <col min="15" max="15" width="9" style="2" customWidth="1"/>
    <col min="16" max="17" width="8.75" style="2" customWidth="1"/>
    <col min="18" max="18" width="8.125" style="2" customWidth="1"/>
    <col min="19" max="19" width="9.25" style="2" customWidth="1"/>
    <col min="20" max="20" width="8.75" style="2" customWidth="1"/>
    <col min="21" max="21" width="9.125" style="2" customWidth="1"/>
    <col min="22" max="22" width="6.5" style="2" customWidth="1"/>
    <col min="23" max="23" width="13.625" style="2" customWidth="1"/>
    <col min="24" max="24" width="12.375" style="2" customWidth="1"/>
    <col min="25" max="16384" width="9" style="2"/>
  </cols>
  <sheetData>
    <row r="1" spans="1:24">
      <c r="A1" s="46" t="s">
        <v>51</v>
      </c>
    </row>
    <row r="2" spans="1:24">
      <c r="A2" s="47" t="s">
        <v>7</v>
      </c>
    </row>
    <row r="3" spans="1:24" ht="29.25">
      <c r="C3" s="10"/>
      <c r="D3" s="10"/>
      <c r="F3" s="26" t="s">
        <v>28</v>
      </c>
      <c r="G3" s="10"/>
      <c r="I3" s="23"/>
      <c r="J3" s="23"/>
      <c r="K3" s="23"/>
      <c r="L3" s="23"/>
      <c r="M3" s="23"/>
      <c r="N3" s="24"/>
      <c r="O3" s="24"/>
      <c r="P3" s="24"/>
      <c r="Q3" s="22"/>
      <c r="R3" s="22"/>
      <c r="S3" s="22"/>
      <c r="T3" s="22"/>
      <c r="U3" s="22"/>
    </row>
    <row r="4" spans="1:24" ht="20.25">
      <c r="I4" s="26" t="s">
        <v>66</v>
      </c>
      <c r="J4" s="26"/>
      <c r="K4" s="26"/>
      <c r="L4" s="25"/>
      <c r="N4" s="25"/>
      <c r="O4" s="25"/>
      <c r="P4" s="25"/>
    </row>
    <row r="6" spans="1:24" s="39" customFormat="1" ht="24.75" customHeight="1">
      <c r="A6" s="196" t="s">
        <v>0</v>
      </c>
      <c r="B6" s="196" t="s">
        <v>29</v>
      </c>
      <c r="C6" s="195" t="s">
        <v>30</v>
      </c>
      <c r="D6" s="197" t="s">
        <v>6</v>
      </c>
      <c r="E6" s="197" t="s">
        <v>35</v>
      </c>
      <c r="F6" s="204" t="s">
        <v>38</v>
      </c>
      <c r="G6" s="205"/>
      <c r="H6" s="205"/>
      <c r="I6" s="205"/>
      <c r="J6" s="205"/>
      <c r="K6" s="205"/>
      <c r="L6" s="206"/>
      <c r="M6" s="202" t="s">
        <v>23</v>
      </c>
      <c r="N6" s="200" t="s">
        <v>9</v>
      </c>
      <c r="O6" s="201"/>
      <c r="P6" s="201"/>
      <c r="Q6" s="201"/>
      <c r="R6" s="201"/>
      <c r="S6" s="199" t="s">
        <v>26</v>
      </c>
      <c r="T6" s="199" t="s">
        <v>8</v>
      </c>
      <c r="U6" s="197" t="s">
        <v>27</v>
      </c>
      <c r="V6" s="195" t="s">
        <v>34</v>
      </c>
    </row>
    <row r="7" spans="1:24" s="39" customFormat="1" ht="92.25" customHeight="1">
      <c r="A7" s="196"/>
      <c r="B7" s="196"/>
      <c r="C7" s="196"/>
      <c r="D7" s="198"/>
      <c r="E7" s="198"/>
      <c r="F7" s="54" t="s">
        <v>39</v>
      </c>
      <c r="G7" s="55" t="s">
        <v>31</v>
      </c>
      <c r="H7" s="55" t="s">
        <v>32</v>
      </c>
      <c r="I7" s="55" t="s">
        <v>33</v>
      </c>
      <c r="J7" s="69" t="s">
        <v>171</v>
      </c>
      <c r="K7" s="40" t="s">
        <v>53</v>
      </c>
      <c r="L7" s="40" t="s">
        <v>41</v>
      </c>
      <c r="M7" s="203"/>
      <c r="N7" s="34" t="s">
        <v>24</v>
      </c>
      <c r="O7" s="27" t="s">
        <v>55</v>
      </c>
      <c r="P7" s="38" t="s">
        <v>57</v>
      </c>
      <c r="Q7" s="38" t="s">
        <v>64</v>
      </c>
      <c r="R7" s="41" t="s">
        <v>49</v>
      </c>
      <c r="S7" s="199"/>
      <c r="T7" s="199"/>
      <c r="U7" s="198"/>
      <c r="V7" s="195"/>
    </row>
    <row r="8" spans="1:24" s="37" customFormat="1" ht="24" customHeight="1">
      <c r="A8" s="35">
        <v>1</v>
      </c>
      <c r="B8" s="36">
        <v>2</v>
      </c>
      <c r="C8" s="35">
        <v>3</v>
      </c>
      <c r="D8" s="36">
        <v>4</v>
      </c>
      <c r="E8" s="35" t="s">
        <v>25</v>
      </c>
      <c r="F8" s="35">
        <v>6</v>
      </c>
      <c r="G8" s="35">
        <v>7</v>
      </c>
      <c r="H8" s="36">
        <v>8</v>
      </c>
      <c r="I8" s="35">
        <v>9</v>
      </c>
      <c r="J8" s="35"/>
      <c r="K8" s="35"/>
      <c r="L8" s="36">
        <v>10</v>
      </c>
      <c r="M8" s="36" t="s">
        <v>170</v>
      </c>
      <c r="N8" s="36">
        <v>12</v>
      </c>
      <c r="O8" s="36">
        <v>13</v>
      </c>
      <c r="P8" s="36">
        <v>14</v>
      </c>
      <c r="Q8" s="36">
        <v>15</v>
      </c>
      <c r="R8" s="36">
        <v>16</v>
      </c>
      <c r="S8" s="36" t="s">
        <v>43</v>
      </c>
      <c r="T8" s="36" t="s">
        <v>44</v>
      </c>
      <c r="U8" s="36" t="s">
        <v>45</v>
      </c>
      <c r="V8" s="36">
        <v>20</v>
      </c>
    </row>
    <row r="9" spans="1:24" ht="21.75" customHeight="1">
      <c r="A9" s="13">
        <v>1</v>
      </c>
      <c r="B9" s="14" t="s">
        <v>11</v>
      </c>
      <c r="C9" s="28">
        <v>147</v>
      </c>
      <c r="D9" s="28"/>
      <c r="E9" s="29">
        <f>SUM(F9:L9)</f>
        <v>12310510</v>
      </c>
      <c r="F9" s="29"/>
      <c r="G9" s="30">
        <v>8268010</v>
      </c>
      <c r="H9" s="30"/>
      <c r="I9" s="30"/>
      <c r="J9" s="30"/>
      <c r="K9" s="30"/>
      <c r="L9" s="30">
        <v>4042500</v>
      </c>
      <c r="M9" s="29">
        <f t="shared" ref="M9:M20" si="0">SUM(N9:R9)</f>
        <v>11918010</v>
      </c>
      <c r="N9" s="30">
        <f>G9</f>
        <v>8268010</v>
      </c>
      <c r="O9" s="31">
        <v>3013500</v>
      </c>
      <c r="P9" s="30"/>
      <c r="Q9" s="45"/>
      <c r="R9" s="30">
        <v>636500</v>
      </c>
      <c r="S9" s="29">
        <f t="shared" ref="S9:S20" si="1">E9-M9</f>
        <v>392500</v>
      </c>
      <c r="T9" s="29">
        <f>S9*35%</f>
        <v>137375</v>
      </c>
      <c r="U9" s="29">
        <f>S9-T9</f>
        <v>255125</v>
      </c>
      <c r="V9" s="15"/>
    </row>
    <row r="10" spans="1:24" ht="21.75" customHeight="1">
      <c r="A10" s="13">
        <v>2</v>
      </c>
      <c r="B10" s="14" t="s">
        <v>12</v>
      </c>
      <c r="C10" s="28">
        <v>590</v>
      </c>
      <c r="D10" s="28"/>
      <c r="E10" s="29">
        <f t="shared" ref="E10:E20" si="2">SUM(F10:L10)</f>
        <v>41601307</v>
      </c>
      <c r="F10" s="29"/>
      <c r="G10" s="30">
        <v>25376307</v>
      </c>
      <c r="H10" s="30"/>
      <c r="I10" s="30"/>
      <c r="J10" s="30"/>
      <c r="K10" s="30"/>
      <c r="L10" s="30">
        <v>16225000</v>
      </c>
      <c r="M10" s="29">
        <f t="shared" si="0"/>
        <v>38107807</v>
      </c>
      <c r="N10" s="30">
        <f t="shared" ref="N10:N20" si="3">G10</f>
        <v>25376307</v>
      </c>
      <c r="O10" s="31">
        <v>12095000</v>
      </c>
      <c r="P10" s="30"/>
      <c r="Q10" s="45"/>
      <c r="R10" s="30">
        <v>636500</v>
      </c>
      <c r="S10" s="29">
        <f t="shared" si="1"/>
        <v>3493500</v>
      </c>
      <c r="T10" s="29">
        <f t="shared" ref="T10:T20" si="4">S10*35%</f>
        <v>1222725</v>
      </c>
      <c r="U10" s="29">
        <f t="shared" ref="U10:U20" si="5">S10-T10</f>
        <v>2270775</v>
      </c>
      <c r="V10" s="15"/>
      <c r="X10" s="12"/>
    </row>
    <row r="11" spans="1:24" ht="21.75" customHeight="1">
      <c r="A11" s="13">
        <v>3</v>
      </c>
      <c r="B11" s="14" t="s">
        <v>13</v>
      </c>
      <c r="C11" s="28">
        <v>553</v>
      </c>
      <c r="D11" s="28"/>
      <c r="E11" s="29">
        <f t="shared" si="2"/>
        <v>41674167</v>
      </c>
      <c r="F11" s="29"/>
      <c r="G11" s="30">
        <v>26466667</v>
      </c>
      <c r="H11" s="30"/>
      <c r="I11" s="30"/>
      <c r="J11" s="30"/>
      <c r="K11" s="30"/>
      <c r="L11" s="30">
        <v>15207500</v>
      </c>
      <c r="M11" s="29">
        <f t="shared" si="0"/>
        <v>37840167</v>
      </c>
      <c r="N11" s="30">
        <f t="shared" si="3"/>
        <v>26466667</v>
      </c>
      <c r="O11" s="31">
        <v>11336500</v>
      </c>
      <c r="P11" s="30"/>
      <c r="Q11" s="45"/>
      <c r="R11" s="30">
        <v>37000</v>
      </c>
      <c r="S11" s="29">
        <f t="shared" si="1"/>
        <v>3834000</v>
      </c>
      <c r="T11" s="29">
        <f t="shared" si="4"/>
        <v>1341900</v>
      </c>
      <c r="U11" s="29">
        <f t="shared" si="5"/>
        <v>2492100</v>
      </c>
      <c r="V11" s="15"/>
      <c r="X11" s="12"/>
    </row>
    <row r="12" spans="1:24" ht="21.75" customHeight="1">
      <c r="A12" s="13">
        <v>4</v>
      </c>
      <c r="B12" s="14" t="s">
        <v>14</v>
      </c>
      <c r="C12" s="28">
        <v>592</v>
      </c>
      <c r="D12" s="28"/>
      <c r="E12" s="29">
        <f t="shared" si="2"/>
        <v>50113928</v>
      </c>
      <c r="F12" s="29"/>
      <c r="G12" s="30">
        <v>31550428</v>
      </c>
      <c r="H12" s="30">
        <v>1052100</v>
      </c>
      <c r="I12" s="30"/>
      <c r="J12" s="30">
        <f>(5+11+8)*53600</f>
        <v>1286400</v>
      </c>
      <c r="K12" s="30"/>
      <c r="L12" s="30">
        <v>16225000</v>
      </c>
      <c r="M12" s="29">
        <f t="shared" si="0"/>
        <v>45118638</v>
      </c>
      <c r="N12" s="30">
        <f t="shared" si="3"/>
        <v>31550428</v>
      </c>
      <c r="O12" s="31">
        <v>12272100</v>
      </c>
      <c r="P12" s="30"/>
      <c r="Q12" s="45"/>
      <c r="R12" s="30">
        <v>1296110</v>
      </c>
      <c r="S12" s="29">
        <f t="shared" si="1"/>
        <v>4995290</v>
      </c>
      <c r="T12" s="29">
        <f t="shared" si="4"/>
        <v>1748351.5</v>
      </c>
      <c r="U12" s="29">
        <f t="shared" si="5"/>
        <v>3246938.5</v>
      </c>
      <c r="V12" s="15"/>
      <c r="X12" s="12"/>
    </row>
    <row r="13" spans="1:24" ht="21.75" customHeight="1">
      <c r="A13" s="13">
        <v>5</v>
      </c>
      <c r="B13" s="14" t="s">
        <v>15</v>
      </c>
      <c r="C13" s="28">
        <v>547</v>
      </c>
      <c r="D13" s="28"/>
      <c r="E13" s="29">
        <f t="shared" si="2"/>
        <v>43806103</v>
      </c>
      <c r="F13" s="29"/>
      <c r="G13" s="30">
        <v>28956103</v>
      </c>
      <c r="H13" s="30"/>
      <c r="I13" s="30"/>
      <c r="J13" s="30"/>
      <c r="K13" s="30"/>
      <c r="L13" s="30">
        <v>14850000</v>
      </c>
      <c r="M13" s="29">
        <f t="shared" si="0"/>
        <v>40063103</v>
      </c>
      <c r="N13" s="30">
        <f t="shared" si="3"/>
        <v>28956103</v>
      </c>
      <c r="O13" s="31">
        <v>11070000</v>
      </c>
      <c r="P13" s="30"/>
      <c r="Q13" s="45"/>
      <c r="R13" s="30">
        <v>37000</v>
      </c>
      <c r="S13" s="29">
        <f t="shared" si="1"/>
        <v>3743000</v>
      </c>
      <c r="T13" s="29">
        <f t="shared" si="4"/>
        <v>1310050</v>
      </c>
      <c r="U13" s="29">
        <f t="shared" si="5"/>
        <v>2432950</v>
      </c>
      <c r="V13" s="15"/>
      <c r="X13" s="12"/>
    </row>
    <row r="14" spans="1:24" ht="21.75" customHeight="1">
      <c r="A14" s="13">
        <v>6</v>
      </c>
      <c r="B14" s="14" t="s">
        <v>16</v>
      </c>
      <c r="C14" s="28">
        <v>696</v>
      </c>
      <c r="D14" s="28"/>
      <c r="E14" s="29">
        <f t="shared" si="2"/>
        <v>45403387</v>
      </c>
      <c r="F14" s="29"/>
      <c r="G14" s="30">
        <v>23484887</v>
      </c>
      <c r="H14" s="30">
        <v>373800</v>
      </c>
      <c r="I14" s="30"/>
      <c r="J14" s="30">
        <f>(9+23+5)*53600</f>
        <v>1983200</v>
      </c>
      <c r="K14" s="30">
        <v>504000</v>
      </c>
      <c r="L14" s="30">
        <v>19057500</v>
      </c>
      <c r="M14" s="29">
        <f t="shared" si="0"/>
        <v>40596137</v>
      </c>
      <c r="N14" s="30">
        <f t="shared" si="3"/>
        <v>23484887</v>
      </c>
      <c r="O14" s="31">
        <v>14463300</v>
      </c>
      <c r="P14" s="30"/>
      <c r="Q14" s="45"/>
      <c r="R14" s="30">
        <v>2647950</v>
      </c>
      <c r="S14" s="29">
        <f t="shared" si="1"/>
        <v>4807250</v>
      </c>
      <c r="T14" s="29">
        <f t="shared" si="4"/>
        <v>1682537.5</v>
      </c>
      <c r="U14" s="29">
        <f t="shared" si="5"/>
        <v>3124712.5</v>
      </c>
      <c r="V14" s="15"/>
      <c r="X14" s="12"/>
    </row>
    <row r="15" spans="1:24" ht="21.75" customHeight="1">
      <c r="A15" s="13">
        <v>7</v>
      </c>
      <c r="B15" s="14" t="s">
        <v>17</v>
      </c>
      <c r="C15" s="28">
        <v>668</v>
      </c>
      <c r="D15" s="28"/>
      <c r="E15" s="29">
        <f t="shared" si="2"/>
        <v>59782775</v>
      </c>
      <c r="F15" s="29"/>
      <c r="G15" s="30">
        <v>41467775</v>
      </c>
      <c r="H15" s="30"/>
      <c r="I15" s="30"/>
      <c r="J15" s="30"/>
      <c r="K15" s="30"/>
      <c r="L15" s="30">
        <v>18315000</v>
      </c>
      <c r="M15" s="29">
        <f t="shared" si="0"/>
        <v>55157775</v>
      </c>
      <c r="N15" s="30">
        <f t="shared" si="3"/>
        <v>41467775</v>
      </c>
      <c r="O15" s="31">
        <v>13653000</v>
      </c>
      <c r="P15" s="30"/>
      <c r="Q15" s="45"/>
      <c r="R15" s="30">
        <v>37000</v>
      </c>
      <c r="S15" s="29">
        <f t="shared" si="1"/>
        <v>4625000</v>
      </c>
      <c r="T15" s="29">
        <f t="shared" si="4"/>
        <v>1618750</v>
      </c>
      <c r="U15" s="29">
        <f t="shared" si="5"/>
        <v>3006250</v>
      </c>
      <c r="V15" s="15"/>
      <c r="X15" s="12"/>
    </row>
    <row r="16" spans="1:24" ht="21.75" customHeight="1">
      <c r="A16" s="13">
        <v>8</v>
      </c>
      <c r="B16" s="14" t="s">
        <v>18</v>
      </c>
      <c r="C16" s="28">
        <v>481</v>
      </c>
      <c r="D16" s="28"/>
      <c r="E16" s="29">
        <f t="shared" si="2"/>
        <v>36966051</v>
      </c>
      <c r="F16" s="29"/>
      <c r="G16" s="30">
        <v>23738551</v>
      </c>
      <c r="H16" s="30"/>
      <c r="I16" s="30"/>
      <c r="J16" s="30"/>
      <c r="K16" s="30"/>
      <c r="L16" s="30">
        <v>13227500</v>
      </c>
      <c r="M16" s="29">
        <f t="shared" si="0"/>
        <v>33636051</v>
      </c>
      <c r="N16" s="30">
        <f t="shared" si="3"/>
        <v>23738551</v>
      </c>
      <c r="O16" s="31">
        <v>9860500</v>
      </c>
      <c r="P16" s="30"/>
      <c r="Q16" s="45"/>
      <c r="R16" s="30">
        <v>37000</v>
      </c>
      <c r="S16" s="29">
        <f t="shared" si="1"/>
        <v>3330000</v>
      </c>
      <c r="T16" s="29">
        <f t="shared" si="4"/>
        <v>1165500</v>
      </c>
      <c r="U16" s="29">
        <f t="shared" si="5"/>
        <v>2164500</v>
      </c>
      <c r="V16" s="15"/>
      <c r="X16" s="12"/>
    </row>
    <row r="17" spans="1:24" ht="21.75" customHeight="1">
      <c r="A17" s="13">
        <v>9</v>
      </c>
      <c r="B17" s="14" t="s">
        <v>19</v>
      </c>
      <c r="C17" s="28">
        <v>858</v>
      </c>
      <c r="D17" s="28"/>
      <c r="E17" s="29">
        <f t="shared" si="2"/>
        <v>62731955</v>
      </c>
      <c r="F17" s="29"/>
      <c r="G17" s="30">
        <v>39136955</v>
      </c>
      <c r="H17" s="30"/>
      <c r="I17" s="30"/>
      <c r="J17" s="30"/>
      <c r="K17" s="30"/>
      <c r="L17" s="30">
        <v>23595000</v>
      </c>
      <c r="M17" s="29">
        <f t="shared" si="0"/>
        <v>56762955</v>
      </c>
      <c r="N17" s="30">
        <f t="shared" si="3"/>
        <v>39136955</v>
      </c>
      <c r="O17" s="31">
        <v>17589000</v>
      </c>
      <c r="P17" s="30"/>
      <c r="Q17" s="45"/>
      <c r="R17" s="30">
        <v>37000</v>
      </c>
      <c r="S17" s="29">
        <f t="shared" si="1"/>
        <v>5969000</v>
      </c>
      <c r="T17" s="29">
        <f t="shared" si="4"/>
        <v>2089149.9999999998</v>
      </c>
      <c r="U17" s="29">
        <f t="shared" si="5"/>
        <v>3879850</v>
      </c>
      <c r="V17" s="15"/>
      <c r="X17" s="12"/>
    </row>
    <row r="18" spans="1:24" ht="21.75" customHeight="1">
      <c r="A18" s="13">
        <v>10</v>
      </c>
      <c r="B18" s="14" t="s">
        <v>20</v>
      </c>
      <c r="C18" s="28">
        <v>657</v>
      </c>
      <c r="D18" s="28"/>
      <c r="E18" s="29">
        <f t="shared" si="2"/>
        <v>54502156</v>
      </c>
      <c r="F18" s="29"/>
      <c r="G18" s="30">
        <v>36434656</v>
      </c>
      <c r="H18" s="30"/>
      <c r="I18" s="30"/>
      <c r="J18" s="30"/>
      <c r="K18" s="30"/>
      <c r="L18" s="30">
        <v>18067500</v>
      </c>
      <c r="M18" s="29">
        <f t="shared" si="0"/>
        <v>49940156</v>
      </c>
      <c r="N18" s="30">
        <f t="shared" si="3"/>
        <v>36434656</v>
      </c>
      <c r="O18" s="31">
        <v>13468500</v>
      </c>
      <c r="P18" s="30"/>
      <c r="Q18" s="45"/>
      <c r="R18" s="30">
        <v>37000</v>
      </c>
      <c r="S18" s="29">
        <f t="shared" si="1"/>
        <v>4562000</v>
      </c>
      <c r="T18" s="29">
        <f t="shared" si="4"/>
        <v>1596700</v>
      </c>
      <c r="U18" s="29">
        <f t="shared" si="5"/>
        <v>2965300</v>
      </c>
      <c r="V18" s="15"/>
      <c r="X18" s="12"/>
    </row>
    <row r="19" spans="1:24" ht="21" customHeight="1">
      <c r="A19" s="13">
        <v>11</v>
      </c>
      <c r="B19" s="14" t="s">
        <v>21</v>
      </c>
      <c r="C19" s="28">
        <v>265</v>
      </c>
      <c r="D19" s="28"/>
      <c r="E19" s="29">
        <f t="shared" si="2"/>
        <v>18268693</v>
      </c>
      <c r="F19" s="29"/>
      <c r="G19" s="30">
        <v>10981193</v>
      </c>
      <c r="H19" s="30"/>
      <c r="I19" s="30"/>
      <c r="J19" s="30"/>
      <c r="K19" s="30"/>
      <c r="L19" s="30">
        <v>7287500</v>
      </c>
      <c r="M19" s="29">
        <f t="shared" si="0"/>
        <v>17083193</v>
      </c>
      <c r="N19" s="30">
        <f t="shared" si="3"/>
        <v>10981193</v>
      </c>
      <c r="O19" s="31">
        <v>5432500</v>
      </c>
      <c r="P19" s="30"/>
      <c r="Q19" s="45"/>
      <c r="R19" s="30">
        <v>669500</v>
      </c>
      <c r="S19" s="29">
        <f t="shared" si="1"/>
        <v>1185500</v>
      </c>
      <c r="T19" s="29">
        <f t="shared" si="4"/>
        <v>414925</v>
      </c>
      <c r="U19" s="29">
        <f t="shared" si="5"/>
        <v>770575</v>
      </c>
      <c r="V19" s="15"/>
      <c r="X19" s="12"/>
    </row>
    <row r="20" spans="1:24" ht="21.75" customHeight="1">
      <c r="A20" s="13">
        <v>12</v>
      </c>
      <c r="B20" s="14" t="s">
        <v>22</v>
      </c>
      <c r="C20" s="28">
        <v>327</v>
      </c>
      <c r="D20" s="28"/>
      <c r="E20" s="29">
        <f t="shared" si="2"/>
        <v>26593865</v>
      </c>
      <c r="F20" s="29"/>
      <c r="G20" s="30">
        <v>16853765</v>
      </c>
      <c r="H20" s="30">
        <v>747600</v>
      </c>
      <c r="I20" s="30"/>
      <c r="J20" s="30"/>
      <c r="K20" s="30"/>
      <c r="L20" s="30">
        <v>8992500</v>
      </c>
      <c r="M20" s="29">
        <f t="shared" si="0"/>
        <v>23711865</v>
      </c>
      <c r="N20" s="30">
        <f t="shared" si="3"/>
        <v>16853765</v>
      </c>
      <c r="O20" s="31">
        <v>6821100</v>
      </c>
      <c r="P20" s="30"/>
      <c r="Q20" s="45"/>
      <c r="R20" s="30">
        <v>37000</v>
      </c>
      <c r="S20" s="29">
        <f t="shared" si="1"/>
        <v>2882000</v>
      </c>
      <c r="T20" s="29">
        <f t="shared" si="4"/>
        <v>1008699.9999999999</v>
      </c>
      <c r="U20" s="29">
        <f t="shared" si="5"/>
        <v>1873300</v>
      </c>
      <c r="V20" s="15"/>
      <c r="X20" s="12"/>
    </row>
    <row r="21" spans="1:24" ht="21.75" customHeight="1">
      <c r="A21" s="16"/>
      <c r="B21" s="18" t="s">
        <v>10</v>
      </c>
      <c r="C21" s="32">
        <f>SUM(C9:C20)</f>
        <v>6381</v>
      </c>
      <c r="D21" s="32">
        <f t="shared" ref="D21" si="6">SUM(D9:D20)</f>
        <v>0</v>
      </c>
      <c r="E21" s="33">
        <f>SUM(E9:E20)</f>
        <v>493754897</v>
      </c>
      <c r="F21" s="33">
        <f t="shared" ref="F21:U21" si="7">SUM(F9:F20)</f>
        <v>0</v>
      </c>
      <c r="G21" s="33">
        <f t="shared" si="7"/>
        <v>312715297</v>
      </c>
      <c r="H21" s="33">
        <f t="shared" si="7"/>
        <v>2173500</v>
      </c>
      <c r="I21" s="33">
        <f t="shared" si="7"/>
        <v>0</v>
      </c>
      <c r="J21" s="33">
        <f t="shared" si="7"/>
        <v>3269600</v>
      </c>
      <c r="K21" s="33">
        <f t="shared" si="7"/>
        <v>504000</v>
      </c>
      <c r="L21" s="33">
        <f t="shared" si="7"/>
        <v>175092500</v>
      </c>
      <c r="M21" s="33">
        <f t="shared" si="7"/>
        <v>449935857</v>
      </c>
      <c r="N21" s="33">
        <f t="shared" si="7"/>
        <v>312715297</v>
      </c>
      <c r="O21" s="33">
        <f t="shared" si="7"/>
        <v>131075000</v>
      </c>
      <c r="P21" s="33">
        <f t="shared" si="7"/>
        <v>0</v>
      </c>
      <c r="Q21" s="33">
        <f t="shared" si="7"/>
        <v>0</v>
      </c>
      <c r="R21" s="33">
        <f t="shared" si="7"/>
        <v>6145560</v>
      </c>
      <c r="S21" s="33">
        <f t="shared" si="7"/>
        <v>43819040</v>
      </c>
      <c r="T21" s="33">
        <f t="shared" si="7"/>
        <v>15336664</v>
      </c>
      <c r="U21" s="33">
        <f t="shared" si="7"/>
        <v>28482376</v>
      </c>
      <c r="V21" s="17"/>
      <c r="W21" s="3"/>
    </row>
    <row r="22" spans="1:24" s="19" customFormat="1" ht="28.15" customHeight="1">
      <c r="B22" s="19" t="s">
        <v>54</v>
      </c>
      <c r="Q22" s="20"/>
    </row>
    <row r="23" spans="1:24" s="4" customFormat="1" ht="18.75">
      <c r="H23" s="5"/>
      <c r="P23" s="5"/>
      <c r="Q23" s="1" t="s">
        <v>65</v>
      </c>
    </row>
    <row r="24" spans="1:24" s="6" customFormat="1" ht="18.75">
      <c r="D24" s="11" t="s">
        <v>1</v>
      </c>
      <c r="L24" s="11" t="s">
        <v>2</v>
      </c>
      <c r="O24" s="9"/>
      <c r="P24" s="7"/>
      <c r="Q24" s="7"/>
      <c r="R24" s="6" t="s">
        <v>3</v>
      </c>
      <c r="T24" s="7"/>
    </row>
    <row r="25" spans="1:24">
      <c r="D25" s="21" t="s">
        <v>4</v>
      </c>
      <c r="L25" s="21" t="s">
        <v>4</v>
      </c>
      <c r="M25" s="21"/>
      <c r="R25" s="8" t="s">
        <v>5</v>
      </c>
      <c r="S25" s="8"/>
    </row>
    <row r="26" spans="1:24">
      <c r="G26" s="42"/>
    </row>
  </sheetData>
  <mergeCells count="12">
    <mergeCell ref="V6:V7"/>
    <mergeCell ref="A6:A7"/>
    <mergeCell ref="B6:B7"/>
    <mergeCell ref="C6:C7"/>
    <mergeCell ref="D6:D7"/>
    <mergeCell ref="E6:E7"/>
    <mergeCell ref="F6:L6"/>
    <mergeCell ref="M6:M7"/>
    <mergeCell ref="N6:R6"/>
    <mergeCell ref="S6:S7"/>
    <mergeCell ref="T6:T7"/>
    <mergeCell ref="U6:U7"/>
  </mergeCells>
  <pageMargins left="0.2" right="0.2" top="0.2" bottom="0.2" header="0.2" footer="0.31496062992125984"/>
  <pageSetup paperSize="9" scale="85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A8" workbookViewId="0">
      <selection activeCell="I21" sqref="I21:K21"/>
    </sheetView>
  </sheetViews>
  <sheetFormatPr defaultColWidth="9" defaultRowHeight="18"/>
  <cols>
    <col min="1" max="1" width="4.375" style="2" customWidth="1"/>
    <col min="2" max="2" width="9.25" style="2" customWidth="1"/>
    <col min="3" max="3" width="6.5" style="2" customWidth="1"/>
    <col min="4" max="4" width="3.75" style="2" customWidth="1"/>
    <col min="5" max="5" width="9.25" style="2" customWidth="1"/>
    <col min="6" max="6" width="5.25" style="2" customWidth="1"/>
    <col min="7" max="7" width="9.5" style="2" customWidth="1"/>
    <col min="8" max="8" width="8.5" style="2" customWidth="1"/>
    <col min="9" max="11" width="6.25" style="2" customWidth="1"/>
    <col min="12" max="12" width="8.625" style="2" customWidth="1"/>
    <col min="13" max="13" width="9.375" style="2" customWidth="1"/>
    <col min="14" max="14" width="9.5" style="2" customWidth="1"/>
    <col min="15" max="15" width="9" style="2" customWidth="1"/>
    <col min="16" max="17" width="8.75" style="2" customWidth="1"/>
    <col min="18" max="18" width="8.125" style="2" customWidth="1"/>
    <col min="19" max="19" width="9.25" style="2" customWidth="1"/>
    <col min="20" max="20" width="8.75" style="2" customWidth="1"/>
    <col min="21" max="21" width="9.125" style="2" customWidth="1"/>
    <col min="22" max="22" width="6.5" style="2" customWidth="1"/>
    <col min="23" max="23" width="13.625" style="2" customWidth="1"/>
    <col min="24" max="24" width="12.375" style="2" customWidth="1"/>
    <col min="25" max="16384" width="9" style="2"/>
  </cols>
  <sheetData>
    <row r="1" spans="1:24">
      <c r="A1" s="46" t="s">
        <v>51</v>
      </c>
    </row>
    <row r="2" spans="1:24">
      <c r="A2" s="47" t="s">
        <v>7</v>
      </c>
    </row>
    <row r="3" spans="1:24" ht="29.25">
      <c r="C3" s="10"/>
      <c r="D3" s="10"/>
      <c r="F3" s="26" t="s">
        <v>28</v>
      </c>
      <c r="G3" s="10"/>
      <c r="I3" s="23"/>
      <c r="J3" s="23"/>
      <c r="K3" s="23"/>
      <c r="L3" s="23"/>
      <c r="M3" s="23"/>
      <c r="N3" s="24"/>
      <c r="O3" s="24"/>
      <c r="P3" s="24"/>
      <c r="Q3" s="22"/>
      <c r="R3" s="22"/>
      <c r="S3" s="22"/>
      <c r="T3" s="22"/>
      <c r="U3" s="22"/>
    </row>
    <row r="4" spans="1:24" ht="20.25">
      <c r="I4" s="26" t="s">
        <v>61</v>
      </c>
      <c r="J4" s="26"/>
      <c r="K4" s="26"/>
      <c r="L4" s="25"/>
      <c r="N4" s="25"/>
      <c r="O4" s="25"/>
      <c r="P4" s="25"/>
    </row>
    <row r="6" spans="1:24" s="39" customFormat="1" ht="24.75" customHeight="1">
      <c r="A6" s="196" t="s">
        <v>0</v>
      </c>
      <c r="B6" s="196" t="s">
        <v>29</v>
      </c>
      <c r="C6" s="195" t="s">
        <v>30</v>
      </c>
      <c r="D6" s="197" t="s">
        <v>6</v>
      </c>
      <c r="E6" s="197" t="s">
        <v>35</v>
      </c>
      <c r="F6" s="204" t="s">
        <v>38</v>
      </c>
      <c r="G6" s="205"/>
      <c r="H6" s="205"/>
      <c r="I6" s="205"/>
      <c r="J6" s="205"/>
      <c r="K6" s="205"/>
      <c r="L6" s="206"/>
      <c r="M6" s="202" t="s">
        <v>23</v>
      </c>
      <c r="N6" s="200" t="s">
        <v>9</v>
      </c>
      <c r="O6" s="201"/>
      <c r="P6" s="201"/>
      <c r="Q6" s="201"/>
      <c r="R6" s="201"/>
      <c r="S6" s="199" t="s">
        <v>26</v>
      </c>
      <c r="T6" s="199" t="s">
        <v>8</v>
      </c>
      <c r="U6" s="197" t="s">
        <v>27</v>
      </c>
      <c r="V6" s="195" t="s">
        <v>34</v>
      </c>
    </row>
    <row r="7" spans="1:24" s="39" customFormat="1" ht="92.25" customHeight="1">
      <c r="A7" s="196"/>
      <c r="B7" s="196"/>
      <c r="C7" s="196"/>
      <c r="D7" s="198"/>
      <c r="E7" s="198"/>
      <c r="F7" s="53" t="s">
        <v>39</v>
      </c>
      <c r="G7" s="52" t="s">
        <v>31</v>
      </c>
      <c r="H7" s="52" t="s">
        <v>32</v>
      </c>
      <c r="I7" s="52" t="s">
        <v>33</v>
      </c>
      <c r="J7" s="69" t="s">
        <v>171</v>
      </c>
      <c r="K7" s="40" t="s">
        <v>53</v>
      </c>
      <c r="L7" s="40" t="s">
        <v>41</v>
      </c>
      <c r="M7" s="203"/>
      <c r="N7" s="34" t="s">
        <v>24</v>
      </c>
      <c r="O7" s="27" t="s">
        <v>55</v>
      </c>
      <c r="P7" s="38" t="s">
        <v>57</v>
      </c>
      <c r="Q7" s="38" t="s">
        <v>64</v>
      </c>
      <c r="R7" s="41" t="s">
        <v>49</v>
      </c>
      <c r="S7" s="199"/>
      <c r="T7" s="199"/>
      <c r="U7" s="198"/>
      <c r="V7" s="195"/>
    </row>
    <row r="8" spans="1:24" s="37" customFormat="1" ht="24" customHeight="1">
      <c r="A8" s="35">
        <v>1</v>
      </c>
      <c r="B8" s="36">
        <v>2</v>
      </c>
      <c r="C8" s="35">
        <v>3</v>
      </c>
      <c r="D8" s="36">
        <v>4</v>
      </c>
      <c r="E8" s="35" t="s">
        <v>25</v>
      </c>
      <c r="F8" s="35">
        <v>6</v>
      </c>
      <c r="G8" s="35">
        <v>7</v>
      </c>
      <c r="H8" s="36">
        <v>8</v>
      </c>
      <c r="I8" s="35">
        <v>9</v>
      </c>
      <c r="J8" s="35"/>
      <c r="K8" s="35"/>
      <c r="L8" s="36">
        <v>10</v>
      </c>
      <c r="M8" s="36" t="s">
        <v>170</v>
      </c>
      <c r="N8" s="36">
        <v>12</v>
      </c>
      <c r="O8" s="36">
        <v>13</v>
      </c>
      <c r="P8" s="36">
        <v>14</v>
      </c>
      <c r="Q8" s="36">
        <v>15</v>
      </c>
      <c r="R8" s="36">
        <v>16</v>
      </c>
      <c r="S8" s="36" t="s">
        <v>43</v>
      </c>
      <c r="T8" s="36" t="s">
        <v>44</v>
      </c>
      <c r="U8" s="36" t="s">
        <v>45</v>
      </c>
      <c r="V8" s="36">
        <v>20</v>
      </c>
    </row>
    <row r="9" spans="1:24" ht="21.75" customHeight="1">
      <c r="A9" s="13">
        <v>1</v>
      </c>
      <c r="B9" s="14" t="s">
        <v>11</v>
      </c>
      <c r="C9" s="28">
        <v>203</v>
      </c>
      <c r="D9" s="28"/>
      <c r="E9" s="29">
        <f>SUM(F9:L9)</f>
        <v>21074358</v>
      </c>
      <c r="F9" s="29"/>
      <c r="G9" s="30">
        <v>13133458</v>
      </c>
      <c r="H9" s="30"/>
      <c r="I9" s="30"/>
      <c r="J9" s="30">
        <f>(44)*53600</f>
        <v>2358400</v>
      </c>
      <c r="K9" s="30"/>
      <c r="L9" s="30">
        <v>5582500</v>
      </c>
      <c r="M9" s="29">
        <f t="shared" ref="M9:M20" si="0">SUM(N9:R9)</f>
        <v>18799958</v>
      </c>
      <c r="N9" s="30">
        <f>G9</f>
        <v>13133458</v>
      </c>
      <c r="O9" s="31">
        <v>4161500</v>
      </c>
      <c r="P9" s="30"/>
      <c r="Q9" s="45">
        <v>75000</v>
      </c>
      <c r="R9" s="30">
        <v>1430000</v>
      </c>
      <c r="S9" s="29">
        <f t="shared" ref="S9:S20" si="1">E9-M9</f>
        <v>2274400</v>
      </c>
      <c r="T9" s="29">
        <f>S9*35%</f>
        <v>796040</v>
      </c>
      <c r="U9" s="29">
        <f>S9-T9</f>
        <v>1478360</v>
      </c>
      <c r="V9" s="15"/>
    </row>
    <row r="10" spans="1:24" ht="21.75" customHeight="1">
      <c r="A10" s="13">
        <v>2</v>
      </c>
      <c r="B10" s="14" t="s">
        <v>12</v>
      </c>
      <c r="C10" s="28">
        <v>591</v>
      </c>
      <c r="D10" s="28"/>
      <c r="E10" s="29">
        <f t="shared" ref="E10:E20" si="2">SUM(F10:L10)</f>
        <v>47946025</v>
      </c>
      <c r="F10" s="29"/>
      <c r="G10" s="30">
        <v>29448325</v>
      </c>
      <c r="H10" s="30">
        <v>179900</v>
      </c>
      <c r="I10" s="30"/>
      <c r="J10" s="30">
        <f>(38)*53600</f>
        <v>2036800</v>
      </c>
      <c r="K10" s="30">
        <v>56000</v>
      </c>
      <c r="L10" s="30">
        <v>16225000</v>
      </c>
      <c r="M10" s="29">
        <f t="shared" si="0"/>
        <v>44132905</v>
      </c>
      <c r="N10" s="30">
        <f t="shared" ref="N10:N20" si="3">G10</f>
        <v>29448325</v>
      </c>
      <c r="O10" s="31">
        <v>12156900</v>
      </c>
      <c r="P10" s="30"/>
      <c r="Q10" s="45">
        <v>952680</v>
      </c>
      <c r="R10" s="30">
        <v>1575000</v>
      </c>
      <c r="S10" s="29">
        <f t="shared" si="1"/>
        <v>3813120</v>
      </c>
      <c r="T10" s="29">
        <f t="shared" ref="T10:T20" si="4">S10*35%</f>
        <v>1334592</v>
      </c>
      <c r="U10" s="29">
        <f t="shared" ref="U10:U20" si="5">S10-T10</f>
        <v>2478528</v>
      </c>
      <c r="V10" s="15"/>
      <c r="X10" s="12"/>
    </row>
    <row r="11" spans="1:24" ht="21.75" customHeight="1">
      <c r="A11" s="13">
        <v>3</v>
      </c>
      <c r="B11" s="14" t="s">
        <v>13</v>
      </c>
      <c r="C11" s="28">
        <v>641</v>
      </c>
      <c r="D11" s="28"/>
      <c r="E11" s="29">
        <f t="shared" si="2"/>
        <v>55529096</v>
      </c>
      <c r="F11" s="29"/>
      <c r="G11" s="30">
        <v>36704996</v>
      </c>
      <c r="H11" s="30">
        <v>124600</v>
      </c>
      <c r="I11" s="30"/>
      <c r="J11" s="30">
        <f>(20)*53600</f>
        <v>1072000</v>
      </c>
      <c r="K11" s="30"/>
      <c r="L11" s="30">
        <v>17627500</v>
      </c>
      <c r="M11" s="29">
        <f t="shared" si="0"/>
        <v>51430996</v>
      </c>
      <c r="N11" s="30">
        <f t="shared" si="3"/>
        <v>36704996</v>
      </c>
      <c r="O11" s="31">
        <v>13160100</v>
      </c>
      <c r="P11" s="30"/>
      <c r="Q11" s="45">
        <v>283400</v>
      </c>
      <c r="R11" s="30">
        <v>1282500</v>
      </c>
      <c r="S11" s="29">
        <f t="shared" si="1"/>
        <v>4098100</v>
      </c>
      <c r="T11" s="29">
        <f t="shared" si="4"/>
        <v>1434335</v>
      </c>
      <c r="U11" s="29">
        <f t="shared" si="5"/>
        <v>2663765</v>
      </c>
      <c r="V11" s="15"/>
      <c r="X11" s="12"/>
    </row>
    <row r="12" spans="1:24" ht="21.75" customHeight="1">
      <c r="A12" s="13">
        <v>4</v>
      </c>
      <c r="B12" s="14" t="s">
        <v>14</v>
      </c>
      <c r="C12" s="28">
        <v>617</v>
      </c>
      <c r="D12" s="28"/>
      <c r="E12" s="29">
        <f t="shared" si="2"/>
        <v>58235120</v>
      </c>
      <c r="F12" s="29"/>
      <c r="G12" s="30">
        <v>40143420</v>
      </c>
      <c r="H12" s="30">
        <v>373800</v>
      </c>
      <c r="I12" s="30"/>
      <c r="J12" s="30">
        <f>(5+9)*53600</f>
        <v>750400</v>
      </c>
      <c r="K12" s="30"/>
      <c r="L12" s="30">
        <v>16967500</v>
      </c>
      <c r="M12" s="29">
        <f t="shared" si="0"/>
        <v>55737970</v>
      </c>
      <c r="N12" s="30">
        <f t="shared" si="3"/>
        <v>40143420</v>
      </c>
      <c r="O12" s="31">
        <v>12707300</v>
      </c>
      <c r="P12" s="30"/>
      <c r="Q12" s="45">
        <v>1517650</v>
      </c>
      <c r="R12" s="30">
        <v>1369600</v>
      </c>
      <c r="S12" s="29">
        <f t="shared" si="1"/>
        <v>2497150</v>
      </c>
      <c r="T12" s="29">
        <f t="shared" si="4"/>
        <v>874002.5</v>
      </c>
      <c r="U12" s="29">
        <f t="shared" si="5"/>
        <v>1623147.5</v>
      </c>
      <c r="V12" s="15"/>
      <c r="X12" s="12"/>
    </row>
    <row r="13" spans="1:24" ht="21.75" customHeight="1">
      <c r="A13" s="13">
        <v>5</v>
      </c>
      <c r="B13" s="14" t="s">
        <v>15</v>
      </c>
      <c r="C13" s="28">
        <v>619</v>
      </c>
      <c r="D13" s="28"/>
      <c r="E13" s="29">
        <f t="shared" si="2"/>
        <v>66834081</v>
      </c>
      <c r="F13" s="29"/>
      <c r="G13" s="30">
        <v>48541281</v>
      </c>
      <c r="H13" s="30">
        <v>494200</v>
      </c>
      <c r="I13" s="30"/>
      <c r="J13" s="30">
        <f>(16)*53600</f>
        <v>857600</v>
      </c>
      <c r="K13" s="30">
        <v>56000</v>
      </c>
      <c r="L13" s="30">
        <v>16885000</v>
      </c>
      <c r="M13" s="29">
        <f t="shared" si="0"/>
        <v>63777931</v>
      </c>
      <c r="N13" s="30">
        <f t="shared" si="3"/>
        <v>48541281</v>
      </c>
      <c r="O13" s="31">
        <v>12706300</v>
      </c>
      <c r="P13" s="30"/>
      <c r="Q13" s="45">
        <v>1037850</v>
      </c>
      <c r="R13" s="30">
        <v>1492500</v>
      </c>
      <c r="S13" s="29">
        <f t="shared" si="1"/>
        <v>3056150</v>
      </c>
      <c r="T13" s="29">
        <f t="shared" si="4"/>
        <v>1069652.5</v>
      </c>
      <c r="U13" s="29">
        <f t="shared" si="5"/>
        <v>1986497.5</v>
      </c>
      <c r="V13" s="15"/>
      <c r="X13" s="12"/>
    </row>
    <row r="14" spans="1:24" ht="21.75" customHeight="1">
      <c r="A14" s="13">
        <v>6</v>
      </c>
      <c r="B14" s="14" t="s">
        <v>16</v>
      </c>
      <c r="C14" s="28">
        <v>573</v>
      </c>
      <c r="D14" s="28"/>
      <c r="E14" s="29">
        <f t="shared" si="2"/>
        <v>50192557</v>
      </c>
      <c r="F14" s="29"/>
      <c r="G14" s="30">
        <v>32458392</v>
      </c>
      <c r="H14" s="30">
        <v>494200</v>
      </c>
      <c r="I14" s="30">
        <v>84565</v>
      </c>
      <c r="J14" s="30">
        <f>(4+10)*53600</f>
        <v>750400</v>
      </c>
      <c r="K14" s="30">
        <v>840000</v>
      </c>
      <c r="L14" s="30">
        <v>15565000</v>
      </c>
      <c r="M14" s="29">
        <f t="shared" si="0"/>
        <v>45005092</v>
      </c>
      <c r="N14" s="30">
        <f t="shared" si="3"/>
        <v>32458392</v>
      </c>
      <c r="O14" s="31">
        <v>12030300</v>
      </c>
      <c r="P14" s="30"/>
      <c r="Q14" s="45">
        <v>176400</v>
      </c>
      <c r="R14" s="30">
        <v>340000</v>
      </c>
      <c r="S14" s="29">
        <f t="shared" si="1"/>
        <v>5187465</v>
      </c>
      <c r="T14" s="29">
        <f t="shared" si="4"/>
        <v>1815612.75</v>
      </c>
      <c r="U14" s="29">
        <f t="shared" si="5"/>
        <v>3371852.25</v>
      </c>
      <c r="V14" s="15"/>
      <c r="X14" s="12"/>
    </row>
    <row r="15" spans="1:24" ht="21.75" customHeight="1">
      <c r="A15" s="13">
        <v>7</v>
      </c>
      <c r="B15" s="14" t="s">
        <v>17</v>
      </c>
      <c r="C15" s="28">
        <v>729</v>
      </c>
      <c r="D15" s="28"/>
      <c r="E15" s="29">
        <f t="shared" si="2"/>
        <v>72621654</v>
      </c>
      <c r="F15" s="29"/>
      <c r="G15" s="30">
        <v>50993654</v>
      </c>
      <c r="H15" s="30"/>
      <c r="I15" s="30"/>
      <c r="J15" s="30">
        <f>(30)*53600</f>
        <v>1608000</v>
      </c>
      <c r="K15" s="30"/>
      <c r="L15" s="30">
        <v>20020000</v>
      </c>
      <c r="M15" s="29">
        <f t="shared" si="0"/>
        <v>68596694</v>
      </c>
      <c r="N15" s="30">
        <f t="shared" si="3"/>
        <v>50993654</v>
      </c>
      <c r="O15" s="31">
        <v>14924000</v>
      </c>
      <c r="P15" s="30"/>
      <c r="Q15" s="45">
        <v>716540</v>
      </c>
      <c r="R15" s="30">
        <v>1962500</v>
      </c>
      <c r="S15" s="29">
        <f t="shared" si="1"/>
        <v>4024960</v>
      </c>
      <c r="T15" s="29">
        <f t="shared" si="4"/>
        <v>1408736</v>
      </c>
      <c r="U15" s="29">
        <f t="shared" si="5"/>
        <v>2616224</v>
      </c>
      <c r="V15" s="15"/>
      <c r="X15" s="12"/>
    </row>
    <row r="16" spans="1:24" ht="21.75" customHeight="1">
      <c r="A16" s="13">
        <v>8</v>
      </c>
      <c r="B16" s="14" t="s">
        <v>18</v>
      </c>
      <c r="C16" s="28">
        <v>451</v>
      </c>
      <c r="D16" s="28"/>
      <c r="E16" s="29">
        <f t="shared" si="2"/>
        <v>38499212</v>
      </c>
      <c r="F16" s="29"/>
      <c r="G16" s="30">
        <v>23626812</v>
      </c>
      <c r="H16" s="30">
        <v>988400</v>
      </c>
      <c r="I16" s="30"/>
      <c r="J16" s="30">
        <f>(25)*53600</f>
        <v>1340000</v>
      </c>
      <c r="K16" s="30">
        <v>224000</v>
      </c>
      <c r="L16" s="30">
        <v>12320000</v>
      </c>
      <c r="M16" s="29">
        <f t="shared" si="0"/>
        <v>35191062</v>
      </c>
      <c r="N16" s="30">
        <f t="shared" si="3"/>
        <v>23626812</v>
      </c>
      <c r="O16" s="31">
        <v>9466600</v>
      </c>
      <c r="P16" s="30"/>
      <c r="Q16" s="45">
        <v>345650</v>
      </c>
      <c r="R16" s="30">
        <v>1752000</v>
      </c>
      <c r="S16" s="29">
        <f t="shared" si="1"/>
        <v>3308150</v>
      </c>
      <c r="T16" s="29">
        <f t="shared" si="4"/>
        <v>1157852.5</v>
      </c>
      <c r="U16" s="29">
        <f t="shared" si="5"/>
        <v>2150297.5</v>
      </c>
      <c r="V16" s="15"/>
      <c r="X16" s="12"/>
    </row>
    <row r="17" spans="1:24" ht="21.75" customHeight="1">
      <c r="A17" s="13">
        <v>9</v>
      </c>
      <c r="B17" s="14" t="s">
        <v>19</v>
      </c>
      <c r="C17" s="28">
        <v>825</v>
      </c>
      <c r="D17" s="28"/>
      <c r="E17" s="29">
        <f t="shared" si="2"/>
        <v>74814020</v>
      </c>
      <c r="F17" s="29"/>
      <c r="G17" s="30">
        <v>49523520</v>
      </c>
      <c r="H17" s="30">
        <v>618800</v>
      </c>
      <c r="I17" s="30"/>
      <c r="J17" s="30">
        <f>(37)*53600</f>
        <v>1983200</v>
      </c>
      <c r="K17" s="30">
        <v>56000</v>
      </c>
      <c r="L17" s="30">
        <v>22632500</v>
      </c>
      <c r="M17" s="29">
        <f t="shared" si="0"/>
        <v>69818012</v>
      </c>
      <c r="N17" s="30">
        <f t="shared" si="3"/>
        <v>49523520</v>
      </c>
      <c r="O17" s="31">
        <v>17010400</v>
      </c>
      <c r="P17" s="30"/>
      <c r="Q17" s="45">
        <v>1449092</v>
      </c>
      <c r="R17" s="30">
        <v>1835000</v>
      </c>
      <c r="S17" s="29">
        <f t="shared" si="1"/>
        <v>4996008</v>
      </c>
      <c r="T17" s="29">
        <f t="shared" si="4"/>
        <v>1748602.7999999998</v>
      </c>
      <c r="U17" s="29">
        <f t="shared" si="5"/>
        <v>3247405.2</v>
      </c>
      <c r="V17" s="15"/>
      <c r="X17" s="12"/>
    </row>
    <row r="18" spans="1:24" ht="21.75" customHeight="1">
      <c r="A18" s="13">
        <v>10</v>
      </c>
      <c r="B18" s="14" t="s">
        <v>20</v>
      </c>
      <c r="C18" s="28">
        <v>621</v>
      </c>
      <c r="D18" s="28"/>
      <c r="E18" s="29">
        <f t="shared" si="2"/>
        <v>57233556</v>
      </c>
      <c r="F18" s="29"/>
      <c r="G18" s="30">
        <v>36350456</v>
      </c>
      <c r="H18" s="30"/>
      <c r="I18" s="30"/>
      <c r="J18" s="30">
        <f>(71)*53600</f>
        <v>3805600</v>
      </c>
      <c r="K18" s="30"/>
      <c r="L18" s="30">
        <v>17077500</v>
      </c>
      <c r="M18" s="29">
        <f t="shared" si="0"/>
        <v>54811676</v>
      </c>
      <c r="N18" s="30">
        <f t="shared" si="3"/>
        <v>36350456</v>
      </c>
      <c r="O18" s="31">
        <v>12730500</v>
      </c>
      <c r="P18" s="30"/>
      <c r="Q18" s="45">
        <v>2450720</v>
      </c>
      <c r="R18" s="30">
        <v>3280000</v>
      </c>
      <c r="S18" s="29">
        <f t="shared" si="1"/>
        <v>2421880</v>
      </c>
      <c r="T18" s="29">
        <f t="shared" si="4"/>
        <v>847658</v>
      </c>
      <c r="U18" s="29">
        <f t="shared" si="5"/>
        <v>1574222</v>
      </c>
      <c r="V18" s="15"/>
      <c r="X18" s="12"/>
    </row>
    <row r="19" spans="1:24" ht="21" customHeight="1">
      <c r="A19" s="13">
        <v>11</v>
      </c>
      <c r="B19" s="14" t="s">
        <v>21</v>
      </c>
      <c r="C19" s="28">
        <v>394</v>
      </c>
      <c r="D19" s="28"/>
      <c r="E19" s="29">
        <f t="shared" si="2"/>
        <v>33416106</v>
      </c>
      <c r="F19" s="29"/>
      <c r="G19" s="30">
        <v>21723506</v>
      </c>
      <c r="H19" s="30"/>
      <c r="I19" s="30"/>
      <c r="J19" s="30">
        <f>(16)*53600</f>
        <v>857600</v>
      </c>
      <c r="K19" s="30"/>
      <c r="L19" s="30">
        <v>10835000</v>
      </c>
      <c r="M19" s="29">
        <f t="shared" si="0"/>
        <v>30993606</v>
      </c>
      <c r="N19" s="30">
        <f t="shared" si="3"/>
        <v>21723506</v>
      </c>
      <c r="O19" s="31">
        <v>8077000</v>
      </c>
      <c r="P19" s="30"/>
      <c r="Q19" s="45">
        <v>333100</v>
      </c>
      <c r="R19" s="30">
        <v>860000</v>
      </c>
      <c r="S19" s="29">
        <f t="shared" si="1"/>
        <v>2422500</v>
      </c>
      <c r="T19" s="29">
        <f t="shared" si="4"/>
        <v>847875</v>
      </c>
      <c r="U19" s="29">
        <f t="shared" si="5"/>
        <v>1574625</v>
      </c>
      <c r="V19" s="15"/>
      <c r="X19" s="12"/>
    </row>
    <row r="20" spans="1:24" ht="21.75" customHeight="1">
      <c r="A20" s="13">
        <v>12</v>
      </c>
      <c r="B20" s="14" t="s">
        <v>22</v>
      </c>
      <c r="C20" s="28">
        <v>369</v>
      </c>
      <c r="D20" s="28"/>
      <c r="E20" s="29">
        <f t="shared" si="2"/>
        <v>33047589</v>
      </c>
      <c r="F20" s="29"/>
      <c r="G20" s="30">
        <v>20289589</v>
      </c>
      <c r="H20" s="30">
        <v>1611400</v>
      </c>
      <c r="I20" s="30"/>
      <c r="J20" s="30">
        <f>(16)*53600</f>
        <v>857600</v>
      </c>
      <c r="K20" s="30">
        <v>224000</v>
      </c>
      <c r="L20" s="30">
        <v>10065000</v>
      </c>
      <c r="M20" s="29">
        <f t="shared" si="0"/>
        <v>29829059</v>
      </c>
      <c r="N20" s="30">
        <f t="shared" si="3"/>
        <v>20289589</v>
      </c>
      <c r="O20" s="31">
        <v>7883600</v>
      </c>
      <c r="P20" s="30"/>
      <c r="Q20" s="45">
        <v>1023370</v>
      </c>
      <c r="R20" s="30">
        <v>632500</v>
      </c>
      <c r="S20" s="29">
        <f t="shared" si="1"/>
        <v>3218530</v>
      </c>
      <c r="T20" s="29">
        <f t="shared" si="4"/>
        <v>1126485.5</v>
      </c>
      <c r="U20" s="29">
        <f t="shared" si="5"/>
        <v>2092044.5</v>
      </c>
      <c r="V20" s="15"/>
      <c r="X20" s="12"/>
    </row>
    <row r="21" spans="1:24" ht="21.75" customHeight="1">
      <c r="A21" s="16"/>
      <c r="B21" s="18" t="s">
        <v>10</v>
      </c>
      <c r="C21" s="32">
        <f>SUM(C9:C20)</f>
        <v>6633</v>
      </c>
      <c r="D21" s="32">
        <f t="shared" ref="D21" si="6">SUM(D9:D20)</f>
        <v>0</v>
      </c>
      <c r="E21" s="33">
        <f>SUM(E9:E20)</f>
        <v>609443374</v>
      </c>
      <c r="F21" s="33">
        <f t="shared" ref="F21:U21" si="7">SUM(F9:F20)</f>
        <v>0</v>
      </c>
      <c r="G21" s="33">
        <f t="shared" si="7"/>
        <v>402937409</v>
      </c>
      <c r="H21" s="33">
        <f t="shared" si="7"/>
        <v>4885300</v>
      </c>
      <c r="I21" s="33">
        <f t="shared" si="7"/>
        <v>84565</v>
      </c>
      <c r="J21" s="33">
        <f t="shared" si="7"/>
        <v>18277600</v>
      </c>
      <c r="K21" s="33">
        <f t="shared" si="7"/>
        <v>1456000</v>
      </c>
      <c r="L21" s="33">
        <f t="shared" si="7"/>
        <v>181802500</v>
      </c>
      <c r="M21" s="33">
        <f t="shared" si="7"/>
        <v>568124961</v>
      </c>
      <c r="N21" s="33">
        <f t="shared" si="7"/>
        <v>402937409</v>
      </c>
      <c r="O21" s="33">
        <f t="shared" si="7"/>
        <v>137014500</v>
      </c>
      <c r="P21" s="33">
        <f t="shared" si="7"/>
        <v>0</v>
      </c>
      <c r="Q21" s="33">
        <f t="shared" si="7"/>
        <v>10361452</v>
      </c>
      <c r="R21" s="33">
        <f t="shared" si="7"/>
        <v>17811600</v>
      </c>
      <c r="S21" s="33">
        <f t="shared" si="7"/>
        <v>41318413</v>
      </c>
      <c r="T21" s="33">
        <f t="shared" si="7"/>
        <v>14461444.550000001</v>
      </c>
      <c r="U21" s="33">
        <f t="shared" si="7"/>
        <v>26856968.449999999</v>
      </c>
      <c r="V21" s="17"/>
      <c r="W21" s="3"/>
    </row>
    <row r="22" spans="1:24" s="19" customFormat="1" ht="28.15" customHeight="1">
      <c r="B22" s="19" t="s">
        <v>54</v>
      </c>
      <c r="Q22" s="20"/>
    </row>
    <row r="23" spans="1:24" s="4" customFormat="1" ht="18.75">
      <c r="H23" s="5"/>
      <c r="P23" s="5"/>
      <c r="Q23" s="1" t="s">
        <v>62</v>
      </c>
    </row>
    <row r="24" spans="1:24" s="6" customFormat="1" ht="18.75">
      <c r="D24" s="11" t="s">
        <v>1</v>
      </c>
      <c r="L24" s="11" t="s">
        <v>2</v>
      </c>
      <c r="O24" s="9"/>
      <c r="P24" s="7"/>
      <c r="Q24" s="7"/>
      <c r="R24" s="6" t="s">
        <v>3</v>
      </c>
      <c r="T24" s="7"/>
    </row>
    <row r="25" spans="1:24">
      <c r="D25" s="21" t="s">
        <v>4</v>
      </c>
      <c r="L25" s="21" t="s">
        <v>4</v>
      </c>
      <c r="M25" s="21"/>
      <c r="R25" s="8" t="s">
        <v>5</v>
      </c>
      <c r="S25" s="8"/>
    </row>
    <row r="26" spans="1:24">
      <c r="G26" s="42"/>
    </row>
  </sheetData>
  <mergeCells count="12">
    <mergeCell ref="V6:V7"/>
    <mergeCell ref="A6:A7"/>
    <mergeCell ref="B6:B7"/>
    <mergeCell ref="C6:C7"/>
    <mergeCell ref="D6:D7"/>
    <mergeCell ref="E6:E7"/>
    <mergeCell ref="F6:L6"/>
    <mergeCell ref="M6:M7"/>
    <mergeCell ref="N6:R6"/>
    <mergeCell ref="S6:S7"/>
    <mergeCell ref="T6:T7"/>
    <mergeCell ref="U6:U7"/>
  </mergeCells>
  <pageMargins left="0.2" right="0.2" top="0.2" bottom="0.2" header="0.2" footer="0.31496062992125984"/>
  <pageSetup paperSize="9" scale="85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A18" workbookViewId="0">
      <selection activeCell="I21" sqref="I21:L21"/>
    </sheetView>
  </sheetViews>
  <sheetFormatPr defaultColWidth="9" defaultRowHeight="18"/>
  <cols>
    <col min="1" max="1" width="4.375" style="2" customWidth="1"/>
    <col min="2" max="2" width="9.25" style="2" customWidth="1"/>
    <col min="3" max="3" width="6.5" style="2" customWidth="1"/>
    <col min="4" max="4" width="3.75" style="2" customWidth="1"/>
    <col min="5" max="5" width="9.25" style="2" customWidth="1"/>
    <col min="6" max="6" width="5.25" style="2" customWidth="1"/>
    <col min="7" max="7" width="9.5" style="2" customWidth="1"/>
    <col min="8" max="8" width="8.5" style="2" customWidth="1"/>
    <col min="9" max="11" width="6.25" style="2" customWidth="1"/>
    <col min="12" max="12" width="8.625" style="2" customWidth="1"/>
    <col min="13" max="13" width="9.375" style="2" customWidth="1"/>
    <col min="14" max="14" width="9.5" style="2" customWidth="1"/>
    <col min="15" max="15" width="9" style="2" customWidth="1"/>
    <col min="16" max="17" width="8.75" style="2" customWidth="1"/>
    <col min="18" max="18" width="8.125" style="2" customWidth="1"/>
    <col min="19" max="19" width="9.25" style="2" customWidth="1"/>
    <col min="20" max="20" width="8.75" style="2" customWidth="1"/>
    <col min="21" max="21" width="9.125" style="2" customWidth="1"/>
    <col min="22" max="22" width="6.5" style="2" customWidth="1"/>
    <col min="23" max="23" width="13.625" style="2" customWidth="1"/>
    <col min="24" max="24" width="12.375" style="2" customWidth="1"/>
    <col min="25" max="16384" width="9" style="2"/>
  </cols>
  <sheetData>
    <row r="1" spans="1:24">
      <c r="A1" s="46" t="s">
        <v>51</v>
      </c>
    </row>
    <row r="2" spans="1:24">
      <c r="A2" s="47" t="s">
        <v>7</v>
      </c>
    </row>
    <row r="3" spans="1:24" ht="29.25">
      <c r="C3" s="10"/>
      <c r="D3" s="10"/>
      <c r="F3" s="26" t="s">
        <v>28</v>
      </c>
      <c r="G3" s="10"/>
      <c r="I3" s="23"/>
      <c r="J3" s="23"/>
      <c r="K3" s="23"/>
      <c r="L3" s="23"/>
      <c r="M3" s="23"/>
      <c r="N3" s="24"/>
      <c r="O3" s="24"/>
      <c r="P3" s="24"/>
      <c r="Q3" s="22"/>
      <c r="R3" s="22"/>
      <c r="S3" s="22"/>
      <c r="T3" s="22"/>
      <c r="U3" s="22"/>
    </row>
    <row r="4" spans="1:24" ht="20.25">
      <c r="I4" s="26" t="s">
        <v>58</v>
      </c>
      <c r="J4" s="26"/>
      <c r="K4" s="26"/>
      <c r="L4" s="25"/>
      <c r="N4" s="25"/>
      <c r="O4" s="25"/>
      <c r="P4" s="25"/>
    </row>
    <row r="6" spans="1:24" s="39" customFormat="1" ht="24.75" customHeight="1">
      <c r="A6" s="196" t="s">
        <v>0</v>
      </c>
      <c r="B6" s="196" t="s">
        <v>29</v>
      </c>
      <c r="C6" s="195" t="s">
        <v>30</v>
      </c>
      <c r="D6" s="197" t="s">
        <v>6</v>
      </c>
      <c r="E6" s="197" t="s">
        <v>35</v>
      </c>
      <c r="F6" s="204" t="s">
        <v>38</v>
      </c>
      <c r="G6" s="205"/>
      <c r="H6" s="205"/>
      <c r="I6" s="205"/>
      <c r="J6" s="205"/>
      <c r="K6" s="205"/>
      <c r="L6" s="206"/>
      <c r="M6" s="202" t="s">
        <v>23</v>
      </c>
      <c r="N6" s="200" t="s">
        <v>9</v>
      </c>
      <c r="O6" s="201"/>
      <c r="P6" s="201"/>
      <c r="Q6" s="201"/>
      <c r="R6" s="201"/>
      <c r="S6" s="199" t="s">
        <v>26</v>
      </c>
      <c r="T6" s="199" t="s">
        <v>8</v>
      </c>
      <c r="U6" s="197" t="s">
        <v>27</v>
      </c>
      <c r="V6" s="195" t="s">
        <v>34</v>
      </c>
    </row>
    <row r="7" spans="1:24" s="39" customFormat="1" ht="92.25" customHeight="1">
      <c r="A7" s="196"/>
      <c r="B7" s="196"/>
      <c r="C7" s="196"/>
      <c r="D7" s="198"/>
      <c r="E7" s="198"/>
      <c r="F7" s="50" t="s">
        <v>39</v>
      </c>
      <c r="G7" s="51" t="s">
        <v>31</v>
      </c>
      <c r="H7" s="51" t="s">
        <v>32</v>
      </c>
      <c r="I7" s="51" t="s">
        <v>33</v>
      </c>
      <c r="J7" s="69" t="s">
        <v>171</v>
      </c>
      <c r="K7" s="40" t="s">
        <v>53</v>
      </c>
      <c r="L7" s="40" t="s">
        <v>41</v>
      </c>
      <c r="M7" s="203"/>
      <c r="N7" s="34" t="s">
        <v>24</v>
      </c>
      <c r="O7" s="27" t="s">
        <v>55</v>
      </c>
      <c r="P7" s="38" t="s">
        <v>57</v>
      </c>
      <c r="Q7" s="38" t="s">
        <v>63</v>
      </c>
      <c r="R7" s="41" t="s">
        <v>49</v>
      </c>
      <c r="S7" s="199"/>
      <c r="T7" s="199"/>
      <c r="U7" s="198"/>
      <c r="V7" s="195"/>
    </row>
    <row r="8" spans="1:24" s="37" customFormat="1" ht="24" customHeight="1">
      <c r="A8" s="35">
        <v>1</v>
      </c>
      <c r="B8" s="36">
        <v>2</v>
      </c>
      <c r="C8" s="35">
        <v>3</v>
      </c>
      <c r="D8" s="36">
        <v>4</v>
      </c>
      <c r="E8" s="35" t="s">
        <v>25</v>
      </c>
      <c r="F8" s="35">
        <v>6</v>
      </c>
      <c r="G8" s="35">
        <v>7</v>
      </c>
      <c r="H8" s="36">
        <v>8</v>
      </c>
      <c r="I8" s="35">
        <v>9</v>
      </c>
      <c r="J8" s="35"/>
      <c r="K8" s="35"/>
      <c r="L8" s="36">
        <v>10</v>
      </c>
      <c r="M8" s="36" t="s">
        <v>170</v>
      </c>
      <c r="N8" s="36">
        <v>12</v>
      </c>
      <c r="O8" s="36">
        <v>13</v>
      </c>
      <c r="P8" s="36">
        <v>14</v>
      </c>
      <c r="Q8" s="36">
        <v>15</v>
      </c>
      <c r="R8" s="36">
        <v>16</v>
      </c>
      <c r="S8" s="36" t="s">
        <v>43</v>
      </c>
      <c r="T8" s="36" t="s">
        <v>44</v>
      </c>
      <c r="U8" s="36" t="s">
        <v>45</v>
      </c>
      <c r="V8" s="36">
        <v>20</v>
      </c>
    </row>
    <row r="9" spans="1:24" ht="21.75" customHeight="1">
      <c r="A9" s="13">
        <v>1</v>
      </c>
      <c r="B9" s="14" t="s">
        <v>11</v>
      </c>
      <c r="C9" s="28">
        <v>125</v>
      </c>
      <c r="D9" s="28"/>
      <c r="E9" s="29">
        <f>SUM(F9:L9)</f>
        <v>10614753</v>
      </c>
      <c r="F9" s="29"/>
      <c r="G9" s="30">
        <v>7177253</v>
      </c>
      <c r="H9" s="30"/>
      <c r="I9" s="30"/>
      <c r="J9" s="30"/>
      <c r="K9" s="30"/>
      <c r="L9" s="30">
        <v>3437500</v>
      </c>
      <c r="M9" s="29">
        <f t="shared" ref="M9:M20" si="0">SUM(N9:R9)</f>
        <v>9829753</v>
      </c>
      <c r="N9" s="30">
        <f>G9</f>
        <v>7177253</v>
      </c>
      <c r="O9" s="31">
        <v>2562500</v>
      </c>
      <c r="P9" s="30"/>
      <c r="Q9" s="45">
        <v>0</v>
      </c>
      <c r="R9" s="30">
        <v>90000</v>
      </c>
      <c r="S9" s="29">
        <f t="shared" ref="S9:S20" si="1">E9-M9</f>
        <v>785000</v>
      </c>
      <c r="T9" s="29">
        <f>S9*35%</f>
        <v>274750</v>
      </c>
      <c r="U9" s="29">
        <f>S9-T9</f>
        <v>510250</v>
      </c>
      <c r="V9" s="15"/>
    </row>
    <row r="10" spans="1:24" ht="21.75" customHeight="1">
      <c r="A10" s="13">
        <v>2</v>
      </c>
      <c r="B10" s="14" t="s">
        <v>12</v>
      </c>
      <c r="C10" s="28">
        <v>454</v>
      </c>
      <c r="D10" s="28"/>
      <c r="E10" s="29">
        <f t="shared" ref="E10:E20" si="2">SUM(F10:L10)</f>
        <v>36403231</v>
      </c>
      <c r="F10" s="29"/>
      <c r="G10" s="30">
        <v>23945731</v>
      </c>
      <c r="H10" s="30"/>
      <c r="I10" s="30"/>
      <c r="J10" s="30"/>
      <c r="K10" s="30"/>
      <c r="L10" s="30">
        <v>12457500</v>
      </c>
      <c r="M10" s="29">
        <f t="shared" si="0"/>
        <v>33489631</v>
      </c>
      <c r="N10" s="30">
        <f t="shared" ref="N10:N20" si="3">G10</f>
        <v>23945731</v>
      </c>
      <c r="O10" s="31">
        <v>9286500</v>
      </c>
      <c r="P10" s="30"/>
      <c r="Q10" s="45">
        <v>257400</v>
      </c>
      <c r="R10" s="30"/>
      <c r="S10" s="29">
        <f t="shared" si="1"/>
        <v>2913600</v>
      </c>
      <c r="T10" s="29">
        <f t="shared" ref="T10:T20" si="4">S10*35%</f>
        <v>1019759.9999999999</v>
      </c>
      <c r="U10" s="29">
        <f t="shared" ref="U10:U20" si="5">S10-T10</f>
        <v>1893840</v>
      </c>
      <c r="V10" s="15"/>
      <c r="X10" s="12"/>
    </row>
    <row r="11" spans="1:24" ht="21.75" customHeight="1">
      <c r="A11" s="13">
        <v>3</v>
      </c>
      <c r="B11" s="14" t="s">
        <v>13</v>
      </c>
      <c r="C11" s="28">
        <v>493</v>
      </c>
      <c r="D11" s="28"/>
      <c r="E11" s="29">
        <f t="shared" si="2"/>
        <v>48412946</v>
      </c>
      <c r="F11" s="29"/>
      <c r="G11" s="30">
        <v>34855446</v>
      </c>
      <c r="H11" s="30"/>
      <c r="I11" s="30"/>
      <c r="J11" s="30"/>
      <c r="K11" s="30"/>
      <c r="L11" s="30">
        <v>13557500</v>
      </c>
      <c r="M11" s="29">
        <f t="shared" si="0"/>
        <v>46873349</v>
      </c>
      <c r="N11" s="30">
        <f t="shared" si="3"/>
        <v>34855446</v>
      </c>
      <c r="O11" s="31">
        <v>10106500</v>
      </c>
      <c r="P11" s="30"/>
      <c r="Q11" s="45">
        <v>1402153</v>
      </c>
      <c r="R11" s="30">
        <v>509250</v>
      </c>
      <c r="S11" s="29">
        <f t="shared" si="1"/>
        <v>1539597</v>
      </c>
      <c r="T11" s="29">
        <f t="shared" si="4"/>
        <v>538858.94999999995</v>
      </c>
      <c r="U11" s="29">
        <f t="shared" si="5"/>
        <v>1000738.05</v>
      </c>
      <c r="V11" s="15"/>
      <c r="X11" s="12"/>
    </row>
    <row r="12" spans="1:24" ht="21.75" customHeight="1">
      <c r="A12" s="13">
        <v>4</v>
      </c>
      <c r="B12" s="14" t="s">
        <v>14</v>
      </c>
      <c r="C12" s="28">
        <v>367</v>
      </c>
      <c r="D12" s="28"/>
      <c r="E12" s="29">
        <f t="shared" si="2"/>
        <v>38794578</v>
      </c>
      <c r="F12" s="29"/>
      <c r="G12" s="30">
        <v>27612678</v>
      </c>
      <c r="H12" s="30">
        <v>124600</v>
      </c>
      <c r="I12" s="30"/>
      <c r="J12" s="30">
        <f>(5+5+8)*53600</f>
        <v>964800</v>
      </c>
      <c r="K12" s="30"/>
      <c r="L12" s="30">
        <v>10092500</v>
      </c>
      <c r="M12" s="29">
        <f t="shared" si="0"/>
        <v>36626778</v>
      </c>
      <c r="N12" s="30">
        <f t="shared" si="3"/>
        <v>27612678</v>
      </c>
      <c r="O12" s="31">
        <v>7543100</v>
      </c>
      <c r="P12" s="30"/>
      <c r="Q12" s="45">
        <v>451600</v>
      </c>
      <c r="R12" s="30">
        <v>1019400</v>
      </c>
      <c r="S12" s="29">
        <f t="shared" si="1"/>
        <v>2167800</v>
      </c>
      <c r="T12" s="29">
        <f t="shared" si="4"/>
        <v>758730</v>
      </c>
      <c r="U12" s="29">
        <f t="shared" si="5"/>
        <v>1409070</v>
      </c>
      <c r="V12" s="15"/>
      <c r="X12" s="12"/>
    </row>
    <row r="13" spans="1:24" ht="21.75" customHeight="1">
      <c r="A13" s="13">
        <v>5</v>
      </c>
      <c r="B13" s="14" t="s">
        <v>15</v>
      </c>
      <c r="C13" s="28">
        <v>520</v>
      </c>
      <c r="D13" s="28"/>
      <c r="E13" s="29">
        <f t="shared" si="2"/>
        <v>45409838</v>
      </c>
      <c r="F13" s="29"/>
      <c r="G13" s="30">
        <v>31219838</v>
      </c>
      <c r="H13" s="30"/>
      <c r="I13" s="30"/>
      <c r="J13" s="30"/>
      <c r="K13" s="30"/>
      <c r="L13" s="30">
        <v>14190000</v>
      </c>
      <c r="M13" s="29">
        <f t="shared" si="0"/>
        <v>43405738</v>
      </c>
      <c r="N13" s="30">
        <f t="shared" si="3"/>
        <v>31219838</v>
      </c>
      <c r="O13" s="31">
        <v>10578000</v>
      </c>
      <c r="P13" s="30"/>
      <c r="Q13" s="45">
        <v>1607900</v>
      </c>
      <c r="R13" s="30"/>
      <c r="S13" s="29">
        <f t="shared" si="1"/>
        <v>2004100</v>
      </c>
      <c r="T13" s="29">
        <f t="shared" si="4"/>
        <v>701435</v>
      </c>
      <c r="U13" s="29">
        <f t="shared" si="5"/>
        <v>1302665</v>
      </c>
      <c r="V13" s="15"/>
      <c r="X13" s="12"/>
    </row>
    <row r="14" spans="1:24" ht="21.75" customHeight="1">
      <c r="A14" s="13">
        <v>6</v>
      </c>
      <c r="B14" s="14" t="s">
        <v>16</v>
      </c>
      <c r="C14" s="28">
        <v>538</v>
      </c>
      <c r="D14" s="28"/>
      <c r="E14" s="29">
        <f t="shared" si="2"/>
        <v>49963505</v>
      </c>
      <c r="F14" s="29"/>
      <c r="G14" s="30">
        <v>33779451</v>
      </c>
      <c r="H14" s="30"/>
      <c r="I14" s="30">
        <v>38454</v>
      </c>
      <c r="J14" s="30">
        <f>(4+5+12)*53600</f>
        <v>1125600</v>
      </c>
      <c r="K14" s="30">
        <v>280000</v>
      </c>
      <c r="L14" s="30">
        <v>14740000</v>
      </c>
      <c r="M14" s="29">
        <f t="shared" si="0"/>
        <v>45085251</v>
      </c>
      <c r="N14" s="30">
        <f t="shared" si="3"/>
        <v>33779451</v>
      </c>
      <c r="O14" s="31">
        <v>11098000</v>
      </c>
      <c r="P14" s="30"/>
      <c r="Q14" s="45">
        <v>207800</v>
      </c>
      <c r="R14" s="30"/>
      <c r="S14" s="29">
        <f t="shared" si="1"/>
        <v>4878254</v>
      </c>
      <c r="T14" s="29">
        <f t="shared" si="4"/>
        <v>1707388.9</v>
      </c>
      <c r="U14" s="29">
        <f t="shared" si="5"/>
        <v>3170865.1</v>
      </c>
      <c r="V14" s="15"/>
      <c r="X14" s="12"/>
    </row>
    <row r="15" spans="1:24" ht="21.75" customHeight="1">
      <c r="A15" s="13">
        <v>7</v>
      </c>
      <c r="B15" s="14" t="s">
        <v>17</v>
      </c>
      <c r="C15" s="28">
        <v>543</v>
      </c>
      <c r="D15" s="28"/>
      <c r="E15" s="29">
        <f t="shared" si="2"/>
        <v>54683782</v>
      </c>
      <c r="F15" s="29"/>
      <c r="G15" s="30">
        <v>39751282</v>
      </c>
      <c r="H15" s="30"/>
      <c r="I15" s="30"/>
      <c r="J15" s="30"/>
      <c r="K15" s="30"/>
      <c r="L15" s="30">
        <v>14932500</v>
      </c>
      <c r="M15" s="29">
        <f t="shared" si="0"/>
        <v>51514882</v>
      </c>
      <c r="N15" s="30">
        <f t="shared" si="3"/>
        <v>39751282</v>
      </c>
      <c r="O15" s="31">
        <v>11131500</v>
      </c>
      <c r="P15" s="30"/>
      <c r="Q15" s="45">
        <v>29400</v>
      </c>
      <c r="R15" s="30">
        <v>602700</v>
      </c>
      <c r="S15" s="29">
        <f t="shared" si="1"/>
        <v>3168900</v>
      </c>
      <c r="T15" s="29">
        <f t="shared" si="4"/>
        <v>1109115</v>
      </c>
      <c r="U15" s="29">
        <f t="shared" si="5"/>
        <v>2059785</v>
      </c>
      <c r="V15" s="15"/>
      <c r="X15" s="12"/>
    </row>
    <row r="16" spans="1:24" ht="21.75" customHeight="1">
      <c r="A16" s="13">
        <v>8</v>
      </c>
      <c r="B16" s="14" t="s">
        <v>18</v>
      </c>
      <c r="C16" s="28">
        <v>345</v>
      </c>
      <c r="D16" s="28"/>
      <c r="E16" s="29">
        <f t="shared" si="2"/>
        <v>29542408</v>
      </c>
      <c r="F16" s="29"/>
      <c r="G16" s="30">
        <v>19009508</v>
      </c>
      <c r="H16" s="30">
        <v>988400</v>
      </c>
      <c r="I16" s="30"/>
      <c r="J16" s="30"/>
      <c r="K16" s="30">
        <v>112000</v>
      </c>
      <c r="L16" s="30">
        <v>9432500</v>
      </c>
      <c r="M16" s="29">
        <f t="shared" si="0"/>
        <v>26763528</v>
      </c>
      <c r="N16" s="30">
        <f t="shared" si="3"/>
        <v>19009508</v>
      </c>
      <c r="O16" s="31">
        <v>7270100</v>
      </c>
      <c r="P16" s="30"/>
      <c r="Q16" s="45">
        <v>483920</v>
      </c>
      <c r="R16" s="30"/>
      <c r="S16" s="29">
        <f t="shared" si="1"/>
        <v>2778880</v>
      </c>
      <c r="T16" s="29">
        <f t="shared" si="4"/>
        <v>972607.99999999988</v>
      </c>
      <c r="U16" s="29">
        <f t="shared" si="5"/>
        <v>1806272</v>
      </c>
      <c r="V16" s="15"/>
      <c r="X16" s="12"/>
    </row>
    <row r="17" spans="1:24" ht="21.75" customHeight="1">
      <c r="A17" s="13">
        <v>9</v>
      </c>
      <c r="B17" s="14" t="s">
        <v>19</v>
      </c>
      <c r="C17" s="28">
        <v>473</v>
      </c>
      <c r="D17" s="28"/>
      <c r="E17" s="29">
        <f t="shared" si="2"/>
        <v>38009041</v>
      </c>
      <c r="F17" s="29"/>
      <c r="G17" s="30">
        <v>25001541</v>
      </c>
      <c r="H17" s="30"/>
      <c r="I17" s="30"/>
      <c r="J17" s="30"/>
      <c r="K17" s="30"/>
      <c r="L17" s="30">
        <v>13007500</v>
      </c>
      <c r="M17" s="29">
        <f t="shared" si="0"/>
        <v>36782567</v>
      </c>
      <c r="N17" s="30">
        <f t="shared" si="3"/>
        <v>25001541</v>
      </c>
      <c r="O17" s="31">
        <v>9696500</v>
      </c>
      <c r="P17" s="30"/>
      <c r="Q17" s="45">
        <v>1337876</v>
      </c>
      <c r="R17" s="30">
        <v>746650</v>
      </c>
      <c r="S17" s="29">
        <f t="shared" si="1"/>
        <v>1226474</v>
      </c>
      <c r="T17" s="29">
        <f t="shared" si="4"/>
        <v>429265.89999999997</v>
      </c>
      <c r="U17" s="29">
        <f t="shared" si="5"/>
        <v>797208.10000000009</v>
      </c>
      <c r="V17" s="15"/>
      <c r="X17" s="12"/>
    </row>
    <row r="18" spans="1:24" ht="21.75" customHeight="1">
      <c r="A18" s="13">
        <v>10</v>
      </c>
      <c r="B18" s="14" t="s">
        <v>20</v>
      </c>
      <c r="C18" s="28">
        <v>563</v>
      </c>
      <c r="D18" s="28"/>
      <c r="E18" s="29">
        <f t="shared" si="2"/>
        <v>49757113</v>
      </c>
      <c r="F18" s="29"/>
      <c r="G18" s="30">
        <v>34274613</v>
      </c>
      <c r="H18" s="30"/>
      <c r="I18" s="30"/>
      <c r="J18" s="30"/>
      <c r="K18" s="30"/>
      <c r="L18" s="30">
        <v>15482500</v>
      </c>
      <c r="M18" s="29">
        <f t="shared" si="0"/>
        <v>46617313</v>
      </c>
      <c r="N18" s="30">
        <f t="shared" si="3"/>
        <v>34274613</v>
      </c>
      <c r="O18" s="31">
        <v>11541500</v>
      </c>
      <c r="P18" s="30"/>
      <c r="Q18" s="45">
        <v>801200</v>
      </c>
      <c r="R18" s="30"/>
      <c r="S18" s="29">
        <f t="shared" si="1"/>
        <v>3139800</v>
      </c>
      <c r="T18" s="29">
        <f t="shared" si="4"/>
        <v>1098930</v>
      </c>
      <c r="U18" s="29">
        <f t="shared" si="5"/>
        <v>2040870</v>
      </c>
      <c r="V18" s="15"/>
      <c r="X18" s="12"/>
    </row>
    <row r="19" spans="1:24" ht="21" customHeight="1">
      <c r="A19" s="13">
        <v>11</v>
      </c>
      <c r="B19" s="14" t="s">
        <v>21</v>
      </c>
      <c r="C19" s="28">
        <v>337</v>
      </c>
      <c r="D19" s="28"/>
      <c r="E19" s="29">
        <f t="shared" si="2"/>
        <v>27205504</v>
      </c>
      <c r="F19" s="29"/>
      <c r="G19" s="30">
        <v>17938004</v>
      </c>
      <c r="H19" s="30"/>
      <c r="I19" s="30"/>
      <c r="J19" s="30"/>
      <c r="K19" s="30"/>
      <c r="L19" s="30">
        <v>9267500</v>
      </c>
      <c r="M19" s="29">
        <f t="shared" si="0"/>
        <v>26781925</v>
      </c>
      <c r="N19" s="30">
        <f t="shared" si="3"/>
        <v>17938004</v>
      </c>
      <c r="O19" s="31">
        <v>6908500</v>
      </c>
      <c r="P19" s="30"/>
      <c r="Q19" s="45">
        <v>1935421</v>
      </c>
      <c r="R19" s="30"/>
      <c r="S19" s="29">
        <f t="shared" si="1"/>
        <v>423579</v>
      </c>
      <c r="T19" s="29">
        <f t="shared" si="4"/>
        <v>148252.65</v>
      </c>
      <c r="U19" s="29">
        <f t="shared" si="5"/>
        <v>275326.34999999998</v>
      </c>
      <c r="V19" s="15"/>
      <c r="X19" s="12"/>
    </row>
    <row r="20" spans="1:24" ht="21.75" customHeight="1">
      <c r="A20" s="13">
        <v>12</v>
      </c>
      <c r="B20" s="14" t="s">
        <v>22</v>
      </c>
      <c r="C20" s="28">
        <v>233</v>
      </c>
      <c r="D20" s="28"/>
      <c r="E20" s="29">
        <f t="shared" si="2"/>
        <v>20264657</v>
      </c>
      <c r="F20" s="29"/>
      <c r="G20" s="30">
        <v>13552657</v>
      </c>
      <c r="H20" s="30">
        <v>304500</v>
      </c>
      <c r="I20" s="30"/>
      <c r="J20" s="30"/>
      <c r="K20" s="30"/>
      <c r="L20" s="30">
        <v>6407500</v>
      </c>
      <c r="M20" s="29">
        <f t="shared" si="0"/>
        <v>18796657</v>
      </c>
      <c r="N20" s="30">
        <f t="shared" si="3"/>
        <v>13552657</v>
      </c>
      <c r="O20" s="31">
        <v>4836000</v>
      </c>
      <c r="P20" s="30"/>
      <c r="Q20" s="45">
        <v>408000</v>
      </c>
      <c r="R20" s="30"/>
      <c r="S20" s="29">
        <f t="shared" si="1"/>
        <v>1468000</v>
      </c>
      <c r="T20" s="29">
        <f t="shared" si="4"/>
        <v>513799.99999999994</v>
      </c>
      <c r="U20" s="29">
        <f t="shared" si="5"/>
        <v>954200</v>
      </c>
      <c r="V20" s="15"/>
      <c r="X20" s="12"/>
    </row>
    <row r="21" spans="1:24" ht="21.75" customHeight="1">
      <c r="A21" s="16"/>
      <c r="B21" s="18" t="s">
        <v>10</v>
      </c>
      <c r="C21" s="32">
        <f>SUM(C9:C20)</f>
        <v>4991</v>
      </c>
      <c r="D21" s="32">
        <f t="shared" ref="D21" si="6">SUM(D9:D20)</f>
        <v>0</v>
      </c>
      <c r="E21" s="33">
        <f>SUM(E9:E20)</f>
        <v>449061356</v>
      </c>
      <c r="F21" s="33">
        <f t="shared" ref="F21:U21" si="7">SUM(F9:F20)</f>
        <v>0</v>
      </c>
      <c r="G21" s="33">
        <f t="shared" si="7"/>
        <v>308118002</v>
      </c>
      <c r="H21" s="33">
        <f t="shared" si="7"/>
        <v>1417500</v>
      </c>
      <c r="I21" s="33">
        <f t="shared" si="7"/>
        <v>38454</v>
      </c>
      <c r="J21" s="33">
        <f t="shared" si="7"/>
        <v>2090400</v>
      </c>
      <c r="K21" s="33">
        <f t="shared" si="7"/>
        <v>392000</v>
      </c>
      <c r="L21" s="33">
        <f t="shared" si="7"/>
        <v>137005000</v>
      </c>
      <c r="M21" s="33">
        <f t="shared" si="7"/>
        <v>422567372</v>
      </c>
      <c r="N21" s="33">
        <f t="shared" si="7"/>
        <v>308118002</v>
      </c>
      <c r="O21" s="33">
        <f t="shared" si="7"/>
        <v>102558700</v>
      </c>
      <c r="P21" s="33">
        <f t="shared" si="7"/>
        <v>0</v>
      </c>
      <c r="Q21" s="33">
        <f t="shared" si="7"/>
        <v>8922670</v>
      </c>
      <c r="R21" s="33">
        <f t="shared" si="7"/>
        <v>2968000</v>
      </c>
      <c r="S21" s="33">
        <f t="shared" si="7"/>
        <v>26493984</v>
      </c>
      <c r="T21" s="33">
        <f t="shared" si="7"/>
        <v>9272894.4000000004</v>
      </c>
      <c r="U21" s="33">
        <f t="shared" si="7"/>
        <v>17221089.600000001</v>
      </c>
      <c r="V21" s="17"/>
      <c r="W21" s="3"/>
    </row>
    <row r="22" spans="1:24" s="19" customFormat="1" ht="28.15" customHeight="1">
      <c r="B22" s="19" t="s">
        <v>54</v>
      </c>
      <c r="Q22" s="20"/>
    </row>
    <row r="23" spans="1:24" s="4" customFormat="1" ht="18.75">
      <c r="H23" s="5"/>
      <c r="P23" s="5"/>
      <c r="Q23" s="1" t="s">
        <v>59</v>
      </c>
    </row>
    <row r="24" spans="1:24" s="6" customFormat="1" ht="18.75">
      <c r="D24" s="11" t="s">
        <v>1</v>
      </c>
      <c r="L24" s="11" t="s">
        <v>2</v>
      </c>
      <c r="O24" s="9"/>
      <c r="P24" s="7"/>
      <c r="Q24" s="7"/>
      <c r="R24" s="6" t="s">
        <v>3</v>
      </c>
      <c r="T24" s="7"/>
    </row>
    <row r="25" spans="1:24">
      <c r="D25" s="21" t="s">
        <v>4</v>
      </c>
      <c r="L25" s="21" t="s">
        <v>4</v>
      </c>
      <c r="M25" s="21"/>
      <c r="R25" s="8" t="s">
        <v>5</v>
      </c>
      <c r="S25" s="8"/>
    </row>
    <row r="26" spans="1:24">
      <c r="G26" s="42"/>
    </row>
  </sheetData>
  <mergeCells count="12">
    <mergeCell ref="V6:V7"/>
    <mergeCell ref="A6:A7"/>
    <mergeCell ref="B6:B7"/>
    <mergeCell ref="C6:C7"/>
    <mergeCell ref="D6:D7"/>
    <mergeCell ref="E6:E7"/>
    <mergeCell ref="F6:L6"/>
    <mergeCell ref="M6:M7"/>
    <mergeCell ref="N6:R6"/>
    <mergeCell ref="S6:S7"/>
    <mergeCell ref="T6:T7"/>
    <mergeCell ref="U6:U7"/>
  </mergeCells>
  <pageMargins left="0.2" right="0.2" top="0.2" bottom="0.2" header="0.2" footer="0.31496062992125984"/>
  <pageSetup paperSize="9" scale="85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A10" workbookViewId="0">
      <selection activeCell="I21" sqref="I21:K21"/>
    </sheetView>
  </sheetViews>
  <sheetFormatPr defaultColWidth="9" defaultRowHeight="18"/>
  <cols>
    <col min="1" max="1" width="4.375" style="2" customWidth="1"/>
    <col min="2" max="2" width="9.25" style="2" customWidth="1"/>
    <col min="3" max="3" width="6.5" style="2" customWidth="1"/>
    <col min="4" max="4" width="3.75" style="2" customWidth="1"/>
    <col min="5" max="5" width="9.25" style="2" customWidth="1"/>
    <col min="6" max="6" width="5.25" style="2" customWidth="1"/>
    <col min="7" max="7" width="9.5" style="2" customWidth="1"/>
    <col min="8" max="8" width="8.5" style="2" customWidth="1"/>
    <col min="9" max="11" width="6.25" style="2" customWidth="1"/>
    <col min="12" max="12" width="8.625" style="2" customWidth="1"/>
    <col min="13" max="13" width="9.375" style="2" customWidth="1"/>
    <col min="14" max="14" width="9.5" style="2" customWidth="1"/>
    <col min="15" max="15" width="9" style="2" customWidth="1"/>
    <col min="16" max="17" width="8.75" style="2" customWidth="1"/>
    <col min="18" max="18" width="8.125" style="2" customWidth="1"/>
    <col min="19" max="19" width="9.25" style="2" customWidth="1"/>
    <col min="20" max="20" width="8.75" style="2" customWidth="1"/>
    <col min="21" max="21" width="9.125" style="2" customWidth="1"/>
    <col min="22" max="22" width="6.5" style="2" customWidth="1"/>
    <col min="23" max="23" width="13.625" style="2" customWidth="1"/>
    <col min="24" max="24" width="12.375" style="2" customWidth="1"/>
    <col min="25" max="16384" width="9" style="2"/>
  </cols>
  <sheetData>
    <row r="1" spans="1:24">
      <c r="A1" s="46" t="s">
        <v>51</v>
      </c>
    </row>
    <row r="2" spans="1:24">
      <c r="A2" s="47" t="s">
        <v>7</v>
      </c>
    </row>
    <row r="3" spans="1:24" ht="29.25">
      <c r="C3" s="10"/>
      <c r="D3" s="10"/>
      <c r="F3" s="26" t="s">
        <v>28</v>
      </c>
      <c r="G3" s="10"/>
      <c r="I3" s="23"/>
      <c r="J3" s="23"/>
      <c r="K3" s="23"/>
      <c r="L3" s="23"/>
      <c r="M3" s="23"/>
      <c r="N3" s="24"/>
      <c r="O3" s="24"/>
      <c r="P3" s="24"/>
      <c r="Q3" s="22"/>
      <c r="R3" s="22"/>
      <c r="S3" s="22"/>
      <c r="T3" s="22"/>
      <c r="U3" s="22"/>
    </row>
    <row r="4" spans="1:24" ht="20.25">
      <c r="I4" s="26" t="s">
        <v>52</v>
      </c>
      <c r="J4" s="26"/>
      <c r="K4" s="26"/>
      <c r="L4" s="25"/>
      <c r="N4" s="25"/>
      <c r="O4" s="25"/>
      <c r="P4" s="25"/>
    </row>
    <row r="6" spans="1:24" s="39" customFormat="1" ht="24.75" customHeight="1">
      <c r="A6" s="196" t="s">
        <v>0</v>
      </c>
      <c r="B6" s="196" t="s">
        <v>29</v>
      </c>
      <c r="C6" s="195" t="s">
        <v>30</v>
      </c>
      <c r="D6" s="197" t="s">
        <v>6</v>
      </c>
      <c r="E6" s="197" t="s">
        <v>35</v>
      </c>
      <c r="F6" s="204" t="s">
        <v>38</v>
      </c>
      <c r="G6" s="205"/>
      <c r="H6" s="205"/>
      <c r="I6" s="205"/>
      <c r="J6" s="205"/>
      <c r="K6" s="205"/>
      <c r="L6" s="206"/>
      <c r="M6" s="202" t="s">
        <v>23</v>
      </c>
      <c r="N6" s="200" t="s">
        <v>9</v>
      </c>
      <c r="O6" s="201"/>
      <c r="P6" s="201"/>
      <c r="Q6" s="201"/>
      <c r="R6" s="201"/>
      <c r="S6" s="199" t="s">
        <v>26</v>
      </c>
      <c r="T6" s="199" t="s">
        <v>8</v>
      </c>
      <c r="U6" s="197" t="s">
        <v>27</v>
      </c>
      <c r="V6" s="195" t="s">
        <v>34</v>
      </c>
    </row>
    <row r="7" spans="1:24" s="39" customFormat="1" ht="92.25" customHeight="1">
      <c r="A7" s="196"/>
      <c r="B7" s="196"/>
      <c r="C7" s="196"/>
      <c r="D7" s="198"/>
      <c r="E7" s="198"/>
      <c r="F7" s="49" t="s">
        <v>39</v>
      </c>
      <c r="G7" s="48" t="s">
        <v>31</v>
      </c>
      <c r="H7" s="48" t="s">
        <v>32</v>
      </c>
      <c r="I7" s="48" t="s">
        <v>33</v>
      </c>
      <c r="J7" s="69" t="s">
        <v>171</v>
      </c>
      <c r="K7" s="40" t="s">
        <v>53</v>
      </c>
      <c r="L7" s="40" t="s">
        <v>41</v>
      </c>
      <c r="M7" s="203"/>
      <c r="N7" s="34" t="s">
        <v>24</v>
      </c>
      <c r="O7" s="27" t="s">
        <v>55</v>
      </c>
      <c r="P7" s="38" t="s">
        <v>57</v>
      </c>
      <c r="Q7" s="38" t="s">
        <v>56</v>
      </c>
      <c r="R7" s="41" t="s">
        <v>49</v>
      </c>
      <c r="S7" s="199"/>
      <c r="T7" s="199"/>
      <c r="U7" s="198"/>
      <c r="V7" s="195"/>
    </row>
    <row r="8" spans="1:24" s="37" customFormat="1" ht="24" customHeight="1">
      <c r="A8" s="35">
        <v>1</v>
      </c>
      <c r="B8" s="36">
        <v>2</v>
      </c>
      <c r="C8" s="35">
        <v>3</v>
      </c>
      <c r="D8" s="36">
        <v>4</v>
      </c>
      <c r="E8" s="35" t="s">
        <v>25</v>
      </c>
      <c r="F8" s="35">
        <v>6</v>
      </c>
      <c r="G8" s="35">
        <v>7</v>
      </c>
      <c r="H8" s="36">
        <v>8</v>
      </c>
      <c r="I8" s="35">
        <v>9</v>
      </c>
      <c r="J8" s="35"/>
      <c r="K8" s="35"/>
      <c r="L8" s="36">
        <v>10</v>
      </c>
      <c r="M8" s="36" t="s">
        <v>170</v>
      </c>
      <c r="N8" s="36">
        <v>12</v>
      </c>
      <c r="O8" s="36">
        <v>13</v>
      </c>
      <c r="P8" s="36">
        <v>14</v>
      </c>
      <c r="Q8" s="36">
        <v>15</v>
      </c>
      <c r="R8" s="36">
        <v>16</v>
      </c>
      <c r="S8" s="36" t="s">
        <v>43</v>
      </c>
      <c r="T8" s="36" t="s">
        <v>44</v>
      </c>
      <c r="U8" s="36" t="s">
        <v>45</v>
      </c>
      <c r="V8" s="36">
        <v>20</v>
      </c>
    </row>
    <row r="9" spans="1:24" ht="21.75" customHeight="1">
      <c r="A9" s="13">
        <v>1</v>
      </c>
      <c r="B9" s="14" t="s">
        <v>11</v>
      </c>
      <c r="C9" s="28">
        <v>215</v>
      </c>
      <c r="D9" s="28"/>
      <c r="E9" s="29">
        <f>SUM(F9:L9)</f>
        <v>23874664</v>
      </c>
      <c r="F9" s="29"/>
      <c r="G9" s="30">
        <v>17962164</v>
      </c>
      <c r="H9" s="30"/>
      <c r="I9" s="30"/>
      <c r="J9" s="30"/>
      <c r="K9" s="30"/>
      <c r="L9" s="30">
        <v>5912500</v>
      </c>
      <c r="M9" s="29">
        <f t="shared" ref="M9:M20" si="0">SUM(N9:R9)</f>
        <v>22786664</v>
      </c>
      <c r="N9" s="30">
        <f>G9</f>
        <v>17962164</v>
      </c>
      <c r="O9" s="31">
        <v>4407500</v>
      </c>
      <c r="P9" s="30">
        <v>283000</v>
      </c>
      <c r="Q9" s="45">
        <v>101000</v>
      </c>
      <c r="R9" s="30">
        <v>33000</v>
      </c>
      <c r="S9" s="29">
        <f t="shared" ref="S9:S20" si="1">E9-M9</f>
        <v>1088000</v>
      </c>
      <c r="T9" s="29">
        <f>S9*35%</f>
        <v>380800</v>
      </c>
      <c r="U9" s="29">
        <f>S9-T9</f>
        <v>707200</v>
      </c>
      <c r="V9" s="15"/>
    </row>
    <row r="10" spans="1:24" ht="21.75" customHeight="1">
      <c r="A10" s="13">
        <v>2</v>
      </c>
      <c r="B10" s="14" t="s">
        <v>12</v>
      </c>
      <c r="C10" s="28">
        <v>697</v>
      </c>
      <c r="D10" s="28"/>
      <c r="E10" s="29">
        <f t="shared" ref="E10:E20" si="2">SUM(F10:L10)</f>
        <v>56605397</v>
      </c>
      <c r="F10" s="29"/>
      <c r="G10" s="30">
        <v>36915197</v>
      </c>
      <c r="H10" s="30">
        <v>494200</v>
      </c>
      <c r="I10" s="30"/>
      <c r="J10" s="30"/>
      <c r="K10" s="30">
        <v>56000</v>
      </c>
      <c r="L10" s="30">
        <v>19140000</v>
      </c>
      <c r="M10" s="29">
        <f t="shared" si="0"/>
        <v>54322847</v>
      </c>
      <c r="N10" s="30">
        <f t="shared" ref="N10:N20" si="3">G10</f>
        <v>36915197</v>
      </c>
      <c r="O10" s="31">
        <v>14387300</v>
      </c>
      <c r="P10" s="30">
        <v>413700</v>
      </c>
      <c r="Q10" s="45">
        <v>195800</v>
      </c>
      <c r="R10" s="30">
        <v>2410850</v>
      </c>
      <c r="S10" s="29">
        <f t="shared" si="1"/>
        <v>2282550</v>
      </c>
      <c r="T10" s="29">
        <f t="shared" ref="T10:T20" si="4">S10*35%</f>
        <v>798892.5</v>
      </c>
      <c r="U10" s="29">
        <f t="shared" ref="U10:U20" si="5">S10-T10</f>
        <v>1483657.5</v>
      </c>
      <c r="V10" s="15"/>
      <c r="X10" s="12"/>
    </row>
    <row r="11" spans="1:24" ht="21.75" customHeight="1">
      <c r="A11" s="13">
        <v>3</v>
      </c>
      <c r="B11" s="14" t="s">
        <v>13</v>
      </c>
      <c r="C11" s="28">
        <v>435</v>
      </c>
      <c r="D11" s="28"/>
      <c r="E11" s="29">
        <f t="shared" si="2"/>
        <v>40758167</v>
      </c>
      <c r="F11" s="29"/>
      <c r="G11" s="30">
        <v>28795667</v>
      </c>
      <c r="H11" s="30"/>
      <c r="I11" s="30"/>
      <c r="J11" s="30"/>
      <c r="K11" s="30"/>
      <c r="L11" s="30">
        <v>11962500</v>
      </c>
      <c r="M11" s="29">
        <f t="shared" si="0"/>
        <v>39232911</v>
      </c>
      <c r="N11" s="30">
        <f t="shared" si="3"/>
        <v>28795667</v>
      </c>
      <c r="O11" s="31">
        <v>8917500</v>
      </c>
      <c r="P11" s="30">
        <v>389300</v>
      </c>
      <c r="Q11" s="45">
        <v>518044</v>
      </c>
      <c r="R11" s="30">
        <v>612400</v>
      </c>
      <c r="S11" s="29">
        <f t="shared" si="1"/>
        <v>1525256</v>
      </c>
      <c r="T11" s="29">
        <f t="shared" si="4"/>
        <v>533839.6</v>
      </c>
      <c r="U11" s="29">
        <f t="shared" si="5"/>
        <v>991416.4</v>
      </c>
      <c r="V11" s="15"/>
      <c r="X11" s="12"/>
    </row>
    <row r="12" spans="1:24" ht="21.75" customHeight="1">
      <c r="A12" s="13">
        <v>4</v>
      </c>
      <c r="B12" s="14" t="s">
        <v>14</v>
      </c>
      <c r="C12" s="28">
        <v>526</v>
      </c>
      <c r="D12" s="28"/>
      <c r="E12" s="29">
        <f t="shared" si="2"/>
        <v>49170124</v>
      </c>
      <c r="F12" s="29"/>
      <c r="G12" s="30">
        <v>34196624</v>
      </c>
      <c r="H12" s="30"/>
      <c r="I12" s="30"/>
      <c r="J12" s="30">
        <f>(3+2+5)*53600</f>
        <v>536000</v>
      </c>
      <c r="K12" s="30"/>
      <c r="L12" s="30">
        <v>14437500</v>
      </c>
      <c r="M12" s="29">
        <f t="shared" si="0"/>
        <v>45880154</v>
      </c>
      <c r="N12" s="30">
        <f t="shared" si="3"/>
        <v>34196624</v>
      </c>
      <c r="O12" s="31">
        <v>10762500</v>
      </c>
      <c r="P12" s="30">
        <v>254620</v>
      </c>
      <c r="Q12" s="45">
        <v>326710</v>
      </c>
      <c r="R12" s="30">
        <v>339700</v>
      </c>
      <c r="S12" s="29">
        <f t="shared" si="1"/>
        <v>3289970</v>
      </c>
      <c r="T12" s="29">
        <f t="shared" si="4"/>
        <v>1151489.5</v>
      </c>
      <c r="U12" s="29">
        <f t="shared" si="5"/>
        <v>2138480.5</v>
      </c>
      <c r="V12" s="15"/>
      <c r="X12" s="12"/>
    </row>
    <row r="13" spans="1:24" ht="21.75" customHeight="1">
      <c r="A13" s="13">
        <v>5</v>
      </c>
      <c r="B13" s="14" t="s">
        <v>15</v>
      </c>
      <c r="C13" s="28">
        <v>534</v>
      </c>
      <c r="D13" s="28"/>
      <c r="E13" s="29">
        <f t="shared" si="2"/>
        <v>46772595</v>
      </c>
      <c r="F13" s="29"/>
      <c r="G13" s="30">
        <v>32115095</v>
      </c>
      <c r="H13" s="30"/>
      <c r="I13" s="30"/>
      <c r="J13" s="30"/>
      <c r="K13" s="30"/>
      <c r="L13" s="30">
        <v>14657500</v>
      </c>
      <c r="M13" s="29">
        <f t="shared" si="0"/>
        <v>43567795</v>
      </c>
      <c r="N13" s="30">
        <f t="shared" si="3"/>
        <v>32115095</v>
      </c>
      <c r="O13" s="31">
        <v>10926500</v>
      </c>
      <c r="P13" s="30">
        <v>436600</v>
      </c>
      <c r="Q13" s="45">
        <v>73100</v>
      </c>
      <c r="R13" s="30">
        <v>16500</v>
      </c>
      <c r="S13" s="29">
        <f t="shared" si="1"/>
        <v>3204800</v>
      </c>
      <c r="T13" s="29">
        <f t="shared" si="4"/>
        <v>1121680</v>
      </c>
      <c r="U13" s="29">
        <f t="shared" si="5"/>
        <v>2083120</v>
      </c>
      <c r="V13" s="15"/>
      <c r="X13" s="12"/>
    </row>
    <row r="14" spans="1:24" ht="21.75" customHeight="1">
      <c r="A14" s="13">
        <v>6</v>
      </c>
      <c r="B14" s="14" t="s">
        <v>16</v>
      </c>
      <c r="C14" s="28">
        <v>617</v>
      </c>
      <c r="D14" s="28"/>
      <c r="E14" s="29">
        <f t="shared" si="2"/>
        <v>58482985</v>
      </c>
      <c r="F14" s="29"/>
      <c r="G14" s="30">
        <v>39222466</v>
      </c>
      <c r="H14" s="30">
        <v>494200</v>
      </c>
      <c r="I14" s="30">
        <v>117919</v>
      </c>
      <c r="J14" s="30">
        <f>(2+7+5)*53600</f>
        <v>750400</v>
      </c>
      <c r="K14" s="30">
        <v>1288000</v>
      </c>
      <c r="L14" s="30">
        <v>16610000</v>
      </c>
      <c r="M14" s="29">
        <f t="shared" si="0"/>
        <v>57534226</v>
      </c>
      <c r="N14" s="30">
        <f t="shared" si="3"/>
        <v>39222466</v>
      </c>
      <c r="O14" s="31">
        <v>12985300</v>
      </c>
      <c r="P14" s="30">
        <v>1992100</v>
      </c>
      <c r="Q14" s="45">
        <v>967400</v>
      </c>
      <c r="R14" s="30">
        <v>2366960</v>
      </c>
      <c r="S14" s="29">
        <f t="shared" si="1"/>
        <v>948759</v>
      </c>
      <c r="T14" s="29">
        <f t="shared" si="4"/>
        <v>332065.64999999997</v>
      </c>
      <c r="U14" s="29">
        <f t="shared" si="5"/>
        <v>616693.35000000009</v>
      </c>
      <c r="V14" s="15"/>
      <c r="X14" s="12"/>
    </row>
    <row r="15" spans="1:24" ht="21.75" customHeight="1">
      <c r="A15" s="13">
        <v>7</v>
      </c>
      <c r="B15" s="14" t="s">
        <v>17</v>
      </c>
      <c r="C15" s="28">
        <v>641</v>
      </c>
      <c r="D15" s="28"/>
      <c r="E15" s="29">
        <f t="shared" si="2"/>
        <v>72989469</v>
      </c>
      <c r="F15" s="29"/>
      <c r="G15" s="30">
        <v>55361969</v>
      </c>
      <c r="H15" s="30"/>
      <c r="I15" s="30"/>
      <c r="J15" s="30"/>
      <c r="K15" s="30"/>
      <c r="L15" s="30">
        <v>17627500</v>
      </c>
      <c r="M15" s="29">
        <f t="shared" si="0"/>
        <v>69607079</v>
      </c>
      <c r="N15" s="30">
        <f t="shared" si="3"/>
        <v>55361969</v>
      </c>
      <c r="O15" s="31">
        <v>13140500</v>
      </c>
      <c r="P15" s="30">
        <v>192600</v>
      </c>
      <c r="Q15" s="45">
        <v>678310</v>
      </c>
      <c r="R15" s="30">
        <v>233700</v>
      </c>
      <c r="S15" s="29">
        <f t="shared" si="1"/>
        <v>3382390</v>
      </c>
      <c r="T15" s="29">
        <f t="shared" si="4"/>
        <v>1183836.5</v>
      </c>
      <c r="U15" s="29">
        <f t="shared" si="5"/>
        <v>2198553.5</v>
      </c>
      <c r="V15" s="15"/>
      <c r="X15" s="12"/>
    </row>
    <row r="16" spans="1:24" ht="21.75" customHeight="1">
      <c r="A16" s="13">
        <v>8</v>
      </c>
      <c r="B16" s="14" t="s">
        <v>18</v>
      </c>
      <c r="C16" s="28">
        <v>438</v>
      </c>
      <c r="D16" s="28"/>
      <c r="E16" s="29">
        <f t="shared" si="2"/>
        <v>33090680</v>
      </c>
      <c r="F16" s="29"/>
      <c r="G16" s="30">
        <v>20891842</v>
      </c>
      <c r="H16" s="30"/>
      <c r="I16" s="30">
        <v>13338</v>
      </c>
      <c r="J16" s="30"/>
      <c r="K16" s="30">
        <v>168000</v>
      </c>
      <c r="L16" s="30">
        <v>12017500</v>
      </c>
      <c r="M16" s="29">
        <f t="shared" si="0"/>
        <v>30636542</v>
      </c>
      <c r="N16" s="30">
        <f t="shared" si="3"/>
        <v>20891842</v>
      </c>
      <c r="O16" s="31">
        <v>9024500</v>
      </c>
      <c r="P16" s="30">
        <v>323400</v>
      </c>
      <c r="Q16" s="45">
        <v>380300</v>
      </c>
      <c r="R16" s="30">
        <v>16500</v>
      </c>
      <c r="S16" s="29">
        <f t="shared" si="1"/>
        <v>2454138</v>
      </c>
      <c r="T16" s="29">
        <f t="shared" si="4"/>
        <v>858948.29999999993</v>
      </c>
      <c r="U16" s="29">
        <f t="shared" si="5"/>
        <v>1595189.7000000002</v>
      </c>
      <c r="V16" s="15"/>
      <c r="X16" s="12"/>
    </row>
    <row r="17" spans="1:24" ht="21.75" customHeight="1">
      <c r="A17" s="13">
        <v>9</v>
      </c>
      <c r="B17" s="14" t="s">
        <v>19</v>
      </c>
      <c r="C17" s="28">
        <v>840</v>
      </c>
      <c r="D17" s="28"/>
      <c r="E17" s="29">
        <f t="shared" si="2"/>
        <v>69729402</v>
      </c>
      <c r="F17" s="29"/>
      <c r="G17" s="30">
        <v>46629402</v>
      </c>
      <c r="H17" s="30"/>
      <c r="I17" s="30"/>
      <c r="J17" s="30"/>
      <c r="K17" s="30"/>
      <c r="L17" s="30">
        <v>23100000</v>
      </c>
      <c r="M17" s="29">
        <f t="shared" si="0"/>
        <v>69890636</v>
      </c>
      <c r="N17" s="30">
        <f t="shared" si="3"/>
        <v>46629402</v>
      </c>
      <c r="O17" s="31">
        <v>17220000</v>
      </c>
      <c r="P17" s="30">
        <v>2810300</v>
      </c>
      <c r="Q17" s="45">
        <v>2398634</v>
      </c>
      <c r="R17" s="30">
        <v>832300</v>
      </c>
      <c r="S17" s="29">
        <f t="shared" si="1"/>
        <v>-161234</v>
      </c>
      <c r="T17" s="29">
        <f t="shared" si="4"/>
        <v>-56431.899999999994</v>
      </c>
      <c r="U17" s="29">
        <f t="shared" si="5"/>
        <v>-104802.1</v>
      </c>
      <c r="V17" s="15"/>
      <c r="X17" s="12"/>
    </row>
    <row r="18" spans="1:24" ht="21.75" customHeight="1">
      <c r="A18" s="13">
        <v>10</v>
      </c>
      <c r="B18" s="14" t="s">
        <v>20</v>
      </c>
      <c r="C18" s="28">
        <v>622</v>
      </c>
      <c r="D18" s="28"/>
      <c r="E18" s="29">
        <f t="shared" si="2"/>
        <v>49861144</v>
      </c>
      <c r="F18" s="29"/>
      <c r="G18" s="30">
        <v>32783644</v>
      </c>
      <c r="H18" s="30"/>
      <c r="I18" s="30"/>
      <c r="J18" s="30"/>
      <c r="K18" s="30"/>
      <c r="L18" s="30">
        <v>17077500</v>
      </c>
      <c r="M18" s="29">
        <f t="shared" si="0"/>
        <v>48586044</v>
      </c>
      <c r="N18" s="30">
        <f t="shared" si="3"/>
        <v>32783644</v>
      </c>
      <c r="O18" s="31">
        <v>12730500</v>
      </c>
      <c r="P18" s="30">
        <v>2021600</v>
      </c>
      <c r="Q18" s="45">
        <v>1033800</v>
      </c>
      <c r="R18" s="30">
        <v>16500</v>
      </c>
      <c r="S18" s="29">
        <f t="shared" si="1"/>
        <v>1275100</v>
      </c>
      <c r="T18" s="29">
        <f t="shared" si="4"/>
        <v>446285</v>
      </c>
      <c r="U18" s="29">
        <f t="shared" si="5"/>
        <v>828815</v>
      </c>
      <c r="V18" s="15"/>
      <c r="X18" s="12"/>
    </row>
    <row r="19" spans="1:24" ht="21" customHeight="1">
      <c r="A19" s="13">
        <v>11</v>
      </c>
      <c r="B19" s="14" t="s">
        <v>21</v>
      </c>
      <c r="C19" s="28">
        <v>504</v>
      </c>
      <c r="D19" s="28"/>
      <c r="E19" s="29">
        <f t="shared" si="2"/>
        <v>43601151</v>
      </c>
      <c r="F19" s="29"/>
      <c r="G19" s="30">
        <v>29741151</v>
      </c>
      <c r="H19" s="30"/>
      <c r="I19" s="30"/>
      <c r="J19" s="30"/>
      <c r="K19" s="30"/>
      <c r="L19" s="30">
        <v>13860000</v>
      </c>
      <c r="M19" s="29">
        <f t="shared" si="0"/>
        <v>42012291</v>
      </c>
      <c r="N19" s="30">
        <f t="shared" si="3"/>
        <v>29741151</v>
      </c>
      <c r="O19" s="31">
        <v>10332000</v>
      </c>
      <c r="P19" s="30">
        <v>655860</v>
      </c>
      <c r="Q19" s="45">
        <v>1266530</v>
      </c>
      <c r="R19" s="30">
        <v>16750</v>
      </c>
      <c r="S19" s="29">
        <f t="shared" si="1"/>
        <v>1588860</v>
      </c>
      <c r="T19" s="29">
        <f t="shared" si="4"/>
        <v>556101</v>
      </c>
      <c r="U19" s="29">
        <f t="shared" si="5"/>
        <v>1032759</v>
      </c>
      <c r="V19" s="15"/>
      <c r="X19" s="12"/>
    </row>
    <row r="20" spans="1:24" ht="21.75" customHeight="1">
      <c r="A20" s="13">
        <v>12</v>
      </c>
      <c r="B20" s="14" t="s">
        <v>22</v>
      </c>
      <c r="C20" s="28">
        <v>510</v>
      </c>
      <c r="D20" s="28"/>
      <c r="E20" s="29">
        <f t="shared" si="2"/>
        <v>39123027</v>
      </c>
      <c r="F20" s="29"/>
      <c r="G20" s="30">
        <v>24848827</v>
      </c>
      <c r="H20" s="30">
        <v>249200</v>
      </c>
      <c r="I20" s="30"/>
      <c r="J20" s="30"/>
      <c r="K20" s="30"/>
      <c r="L20" s="30">
        <v>14025000</v>
      </c>
      <c r="M20" s="29">
        <f t="shared" si="0"/>
        <v>36335227</v>
      </c>
      <c r="N20" s="30">
        <f t="shared" si="3"/>
        <v>24848827</v>
      </c>
      <c r="O20" s="31">
        <v>10494200</v>
      </c>
      <c r="P20" s="30">
        <v>119100</v>
      </c>
      <c r="Q20" s="45">
        <v>347100</v>
      </c>
      <c r="R20" s="30">
        <v>526000</v>
      </c>
      <c r="S20" s="29">
        <f t="shared" si="1"/>
        <v>2787800</v>
      </c>
      <c r="T20" s="29">
        <f t="shared" si="4"/>
        <v>975729.99999999988</v>
      </c>
      <c r="U20" s="29">
        <f t="shared" si="5"/>
        <v>1812070</v>
      </c>
      <c r="V20" s="15"/>
      <c r="X20" s="12"/>
    </row>
    <row r="21" spans="1:24" ht="21.75" customHeight="1">
      <c r="A21" s="16"/>
      <c r="B21" s="18" t="s">
        <v>10</v>
      </c>
      <c r="C21" s="32">
        <f>SUM(C9:C20)</f>
        <v>6579</v>
      </c>
      <c r="D21" s="32">
        <f t="shared" ref="D21" si="6">SUM(D9:D20)</f>
        <v>0</v>
      </c>
      <c r="E21" s="33">
        <f>SUM(E9:E20)</f>
        <v>584058805</v>
      </c>
      <c r="F21" s="33">
        <f t="shared" ref="F21:U21" si="7">SUM(F9:F20)</f>
        <v>0</v>
      </c>
      <c r="G21" s="33">
        <f t="shared" si="7"/>
        <v>399464048</v>
      </c>
      <c r="H21" s="33">
        <f t="shared" si="7"/>
        <v>1237600</v>
      </c>
      <c r="I21" s="33">
        <f t="shared" si="7"/>
        <v>131257</v>
      </c>
      <c r="J21" s="33">
        <f t="shared" si="7"/>
        <v>1286400</v>
      </c>
      <c r="K21" s="33">
        <f t="shared" si="7"/>
        <v>1512000</v>
      </c>
      <c r="L21" s="33">
        <f t="shared" si="7"/>
        <v>180427500</v>
      </c>
      <c r="M21" s="33">
        <f t="shared" si="7"/>
        <v>560392416</v>
      </c>
      <c r="N21" s="33">
        <f t="shared" si="7"/>
        <v>399464048</v>
      </c>
      <c r="O21" s="33">
        <f t="shared" si="7"/>
        <v>135328300</v>
      </c>
      <c r="P21" s="33">
        <f t="shared" si="7"/>
        <v>9892180</v>
      </c>
      <c r="Q21" s="33">
        <f t="shared" si="7"/>
        <v>8286728</v>
      </c>
      <c r="R21" s="33">
        <f t="shared" si="7"/>
        <v>7421160</v>
      </c>
      <c r="S21" s="33">
        <f t="shared" si="7"/>
        <v>23666389</v>
      </c>
      <c r="T21" s="33">
        <f t="shared" si="7"/>
        <v>8283236.1499999994</v>
      </c>
      <c r="U21" s="33">
        <f t="shared" si="7"/>
        <v>15383152.85</v>
      </c>
      <c r="V21" s="17"/>
      <c r="W21" s="3"/>
    </row>
    <row r="22" spans="1:24" s="19" customFormat="1" ht="28.15" customHeight="1">
      <c r="B22" s="19" t="s">
        <v>54</v>
      </c>
      <c r="Q22" s="20"/>
    </row>
    <row r="23" spans="1:24" s="4" customFormat="1" ht="18.75">
      <c r="H23" s="5"/>
      <c r="P23" s="5"/>
      <c r="Q23" s="1" t="s">
        <v>60</v>
      </c>
    </row>
    <row r="24" spans="1:24" s="6" customFormat="1" ht="18.75">
      <c r="D24" s="11" t="s">
        <v>1</v>
      </c>
      <c r="L24" s="11" t="s">
        <v>2</v>
      </c>
      <c r="O24" s="9"/>
      <c r="P24" s="7"/>
      <c r="Q24" s="7"/>
      <c r="R24" s="6" t="s">
        <v>3</v>
      </c>
      <c r="T24" s="7"/>
    </row>
    <row r="25" spans="1:24">
      <c r="D25" s="21" t="s">
        <v>4</v>
      </c>
      <c r="L25" s="21" t="s">
        <v>4</v>
      </c>
      <c r="M25" s="21"/>
      <c r="R25" s="8" t="s">
        <v>5</v>
      </c>
      <c r="S25" s="8"/>
    </row>
    <row r="26" spans="1:24">
      <c r="G26" s="42"/>
    </row>
  </sheetData>
  <mergeCells count="12">
    <mergeCell ref="V6:V7"/>
    <mergeCell ref="A6:A7"/>
    <mergeCell ref="B6:B7"/>
    <mergeCell ref="C6:C7"/>
    <mergeCell ref="D6:D7"/>
    <mergeCell ref="E6:E7"/>
    <mergeCell ref="F6:L6"/>
    <mergeCell ref="M6:M7"/>
    <mergeCell ref="N6:R6"/>
    <mergeCell ref="S6:S7"/>
    <mergeCell ref="T6:T7"/>
    <mergeCell ref="U6:U7"/>
  </mergeCells>
  <pageMargins left="0.2" right="0.2" top="0.2" bottom="0.2" header="0.2" footer="0.31496062992125984"/>
  <pageSetup paperSize="9" scale="8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4"/>
  <sheetViews>
    <sheetView topLeftCell="A74" workbookViewId="0">
      <selection activeCell="D94" sqref="D94:D95"/>
    </sheetView>
  </sheetViews>
  <sheetFormatPr defaultRowHeight="12.75"/>
  <cols>
    <col min="1" max="1" width="7.25" style="84" customWidth="1"/>
    <col min="2" max="2" width="29.125" style="84" customWidth="1"/>
    <col min="3" max="4" width="17.375" style="100" customWidth="1"/>
    <col min="5" max="5" width="22.125" style="137" customWidth="1"/>
    <col min="6" max="256" width="8.75" style="100"/>
    <col min="257" max="257" width="7.25" style="100" customWidth="1"/>
    <col min="258" max="258" width="29.125" style="100" customWidth="1"/>
    <col min="259" max="260" width="17.375" style="100" customWidth="1"/>
    <col min="261" max="261" width="23.125" style="100" customWidth="1"/>
    <col min="262" max="512" width="8.75" style="100"/>
    <col min="513" max="513" width="7.25" style="100" customWidth="1"/>
    <col min="514" max="514" width="29.125" style="100" customWidth="1"/>
    <col min="515" max="516" width="17.375" style="100" customWidth="1"/>
    <col min="517" max="517" width="23.125" style="100" customWidth="1"/>
    <col min="518" max="768" width="8.75" style="100"/>
    <col min="769" max="769" width="7.25" style="100" customWidth="1"/>
    <col min="770" max="770" width="29.125" style="100" customWidth="1"/>
    <col min="771" max="772" width="17.375" style="100" customWidth="1"/>
    <col min="773" max="773" width="23.125" style="100" customWidth="1"/>
    <col min="774" max="1024" width="8.75" style="100"/>
    <col min="1025" max="1025" width="7.25" style="100" customWidth="1"/>
    <col min="1026" max="1026" width="29.125" style="100" customWidth="1"/>
    <col min="1027" max="1028" width="17.375" style="100" customWidth="1"/>
    <col min="1029" max="1029" width="23.125" style="100" customWidth="1"/>
    <col min="1030" max="1280" width="8.75" style="100"/>
    <col min="1281" max="1281" width="7.25" style="100" customWidth="1"/>
    <col min="1282" max="1282" width="29.125" style="100" customWidth="1"/>
    <col min="1283" max="1284" width="17.375" style="100" customWidth="1"/>
    <col min="1285" max="1285" width="23.125" style="100" customWidth="1"/>
    <col min="1286" max="1536" width="8.75" style="100"/>
    <col min="1537" max="1537" width="7.25" style="100" customWidth="1"/>
    <col min="1538" max="1538" width="29.125" style="100" customWidth="1"/>
    <col min="1539" max="1540" width="17.375" style="100" customWidth="1"/>
    <col min="1541" max="1541" width="23.125" style="100" customWidth="1"/>
    <col min="1542" max="1792" width="8.75" style="100"/>
    <col min="1793" max="1793" width="7.25" style="100" customWidth="1"/>
    <col min="1794" max="1794" width="29.125" style="100" customWidth="1"/>
    <col min="1795" max="1796" width="17.375" style="100" customWidth="1"/>
    <col min="1797" max="1797" width="23.125" style="100" customWidth="1"/>
    <col min="1798" max="2048" width="8.75" style="100"/>
    <col min="2049" max="2049" width="7.25" style="100" customWidth="1"/>
    <col min="2050" max="2050" width="29.125" style="100" customWidth="1"/>
    <col min="2051" max="2052" width="17.375" style="100" customWidth="1"/>
    <col min="2053" max="2053" width="23.125" style="100" customWidth="1"/>
    <col min="2054" max="2304" width="8.75" style="100"/>
    <col min="2305" max="2305" width="7.25" style="100" customWidth="1"/>
    <col min="2306" max="2306" width="29.125" style="100" customWidth="1"/>
    <col min="2307" max="2308" width="17.375" style="100" customWidth="1"/>
    <col min="2309" max="2309" width="23.125" style="100" customWidth="1"/>
    <col min="2310" max="2560" width="8.75" style="100"/>
    <col min="2561" max="2561" width="7.25" style="100" customWidth="1"/>
    <col min="2562" max="2562" width="29.125" style="100" customWidth="1"/>
    <col min="2563" max="2564" width="17.375" style="100" customWidth="1"/>
    <col min="2565" max="2565" width="23.125" style="100" customWidth="1"/>
    <col min="2566" max="2816" width="8.75" style="100"/>
    <col min="2817" max="2817" width="7.25" style="100" customWidth="1"/>
    <col min="2818" max="2818" width="29.125" style="100" customWidth="1"/>
    <col min="2819" max="2820" width="17.375" style="100" customWidth="1"/>
    <col min="2821" max="2821" width="23.125" style="100" customWidth="1"/>
    <col min="2822" max="3072" width="8.75" style="100"/>
    <col min="3073" max="3073" width="7.25" style="100" customWidth="1"/>
    <col min="3074" max="3074" width="29.125" style="100" customWidth="1"/>
    <col min="3075" max="3076" width="17.375" style="100" customWidth="1"/>
    <col min="3077" max="3077" width="23.125" style="100" customWidth="1"/>
    <col min="3078" max="3328" width="8.75" style="100"/>
    <col min="3329" max="3329" width="7.25" style="100" customWidth="1"/>
    <col min="3330" max="3330" width="29.125" style="100" customWidth="1"/>
    <col min="3331" max="3332" width="17.375" style="100" customWidth="1"/>
    <col min="3333" max="3333" width="23.125" style="100" customWidth="1"/>
    <col min="3334" max="3584" width="8.75" style="100"/>
    <col min="3585" max="3585" width="7.25" style="100" customWidth="1"/>
    <col min="3586" max="3586" width="29.125" style="100" customWidth="1"/>
    <col min="3587" max="3588" width="17.375" style="100" customWidth="1"/>
    <col min="3589" max="3589" width="23.125" style="100" customWidth="1"/>
    <col min="3590" max="3840" width="8.75" style="100"/>
    <col min="3841" max="3841" width="7.25" style="100" customWidth="1"/>
    <col min="3842" max="3842" width="29.125" style="100" customWidth="1"/>
    <col min="3843" max="3844" width="17.375" style="100" customWidth="1"/>
    <col min="3845" max="3845" width="23.125" style="100" customWidth="1"/>
    <col min="3846" max="4096" width="8.75" style="100"/>
    <col min="4097" max="4097" width="7.25" style="100" customWidth="1"/>
    <col min="4098" max="4098" width="29.125" style="100" customWidth="1"/>
    <col min="4099" max="4100" width="17.375" style="100" customWidth="1"/>
    <col min="4101" max="4101" width="23.125" style="100" customWidth="1"/>
    <col min="4102" max="4352" width="8.75" style="100"/>
    <col min="4353" max="4353" width="7.25" style="100" customWidth="1"/>
    <col min="4354" max="4354" width="29.125" style="100" customWidth="1"/>
    <col min="4355" max="4356" width="17.375" style="100" customWidth="1"/>
    <col min="4357" max="4357" width="23.125" style="100" customWidth="1"/>
    <col min="4358" max="4608" width="8.75" style="100"/>
    <col min="4609" max="4609" width="7.25" style="100" customWidth="1"/>
    <col min="4610" max="4610" width="29.125" style="100" customWidth="1"/>
    <col min="4611" max="4612" width="17.375" style="100" customWidth="1"/>
    <col min="4613" max="4613" width="23.125" style="100" customWidth="1"/>
    <col min="4614" max="4864" width="8.75" style="100"/>
    <col min="4865" max="4865" width="7.25" style="100" customWidth="1"/>
    <col min="4866" max="4866" width="29.125" style="100" customWidth="1"/>
    <col min="4867" max="4868" width="17.375" style="100" customWidth="1"/>
    <col min="4869" max="4869" width="23.125" style="100" customWidth="1"/>
    <col min="4870" max="5120" width="8.75" style="100"/>
    <col min="5121" max="5121" width="7.25" style="100" customWidth="1"/>
    <col min="5122" max="5122" width="29.125" style="100" customWidth="1"/>
    <col min="5123" max="5124" width="17.375" style="100" customWidth="1"/>
    <col min="5125" max="5125" width="23.125" style="100" customWidth="1"/>
    <col min="5126" max="5376" width="8.75" style="100"/>
    <col min="5377" max="5377" width="7.25" style="100" customWidth="1"/>
    <col min="5378" max="5378" width="29.125" style="100" customWidth="1"/>
    <col min="5379" max="5380" width="17.375" style="100" customWidth="1"/>
    <col min="5381" max="5381" width="23.125" style="100" customWidth="1"/>
    <col min="5382" max="5632" width="8.75" style="100"/>
    <col min="5633" max="5633" width="7.25" style="100" customWidth="1"/>
    <col min="5634" max="5634" width="29.125" style="100" customWidth="1"/>
    <col min="5635" max="5636" width="17.375" style="100" customWidth="1"/>
    <col min="5637" max="5637" width="23.125" style="100" customWidth="1"/>
    <col min="5638" max="5888" width="8.75" style="100"/>
    <col min="5889" max="5889" width="7.25" style="100" customWidth="1"/>
    <col min="5890" max="5890" width="29.125" style="100" customWidth="1"/>
    <col min="5891" max="5892" width="17.375" style="100" customWidth="1"/>
    <col min="5893" max="5893" width="23.125" style="100" customWidth="1"/>
    <col min="5894" max="6144" width="8.75" style="100"/>
    <col min="6145" max="6145" width="7.25" style="100" customWidth="1"/>
    <col min="6146" max="6146" width="29.125" style="100" customWidth="1"/>
    <col min="6147" max="6148" width="17.375" style="100" customWidth="1"/>
    <col min="6149" max="6149" width="23.125" style="100" customWidth="1"/>
    <col min="6150" max="6400" width="8.75" style="100"/>
    <col min="6401" max="6401" width="7.25" style="100" customWidth="1"/>
    <col min="6402" max="6402" width="29.125" style="100" customWidth="1"/>
    <col min="6403" max="6404" width="17.375" style="100" customWidth="1"/>
    <col min="6405" max="6405" width="23.125" style="100" customWidth="1"/>
    <col min="6406" max="6656" width="8.75" style="100"/>
    <col min="6657" max="6657" width="7.25" style="100" customWidth="1"/>
    <col min="6658" max="6658" width="29.125" style="100" customWidth="1"/>
    <col min="6659" max="6660" width="17.375" style="100" customWidth="1"/>
    <col min="6661" max="6661" width="23.125" style="100" customWidth="1"/>
    <col min="6662" max="6912" width="8.75" style="100"/>
    <col min="6913" max="6913" width="7.25" style="100" customWidth="1"/>
    <col min="6914" max="6914" width="29.125" style="100" customWidth="1"/>
    <col min="6915" max="6916" width="17.375" style="100" customWidth="1"/>
    <col min="6917" max="6917" width="23.125" style="100" customWidth="1"/>
    <col min="6918" max="7168" width="8.75" style="100"/>
    <col min="7169" max="7169" width="7.25" style="100" customWidth="1"/>
    <col min="7170" max="7170" width="29.125" style="100" customWidth="1"/>
    <col min="7171" max="7172" width="17.375" style="100" customWidth="1"/>
    <col min="7173" max="7173" width="23.125" style="100" customWidth="1"/>
    <col min="7174" max="7424" width="8.75" style="100"/>
    <col min="7425" max="7425" width="7.25" style="100" customWidth="1"/>
    <col min="7426" max="7426" width="29.125" style="100" customWidth="1"/>
    <col min="7427" max="7428" width="17.375" style="100" customWidth="1"/>
    <col min="7429" max="7429" width="23.125" style="100" customWidth="1"/>
    <col min="7430" max="7680" width="8.75" style="100"/>
    <col min="7681" max="7681" width="7.25" style="100" customWidth="1"/>
    <col min="7682" max="7682" width="29.125" style="100" customWidth="1"/>
    <col min="7683" max="7684" width="17.375" style="100" customWidth="1"/>
    <col min="7685" max="7685" width="23.125" style="100" customWidth="1"/>
    <col min="7686" max="7936" width="8.75" style="100"/>
    <col min="7937" max="7937" width="7.25" style="100" customWidth="1"/>
    <col min="7938" max="7938" width="29.125" style="100" customWidth="1"/>
    <col min="7939" max="7940" width="17.375" style="100" customWidth="1"/>
    <col min="7941" max="7941" width="23.125" style="100" customWidth="1"/>
    <col min="7942" max="8192" width="8.75" style="100"/>
    <col min="8193" max="8193" width="7.25" style="100" customWidth="1"/>
    <col min="8194" max="8194" width="29.125" style="100" customWidth="1"/>
    <col min="8195" max="8196" width="17.375" style="100" customWidth="1"/>
    <col min="8197" max="8197" width="23.125" style="100" customWidth="1"/>
    <col min="8198" max="8448" width="8.75" style="100"/>
    <col min="8449" max="8449" width="7.25" style="100" customWidth="1"/>
    <col min="8450" max="8450" width="29.125" style="100" customWidth="1"/>
    <col min="8451" max="8452" width="17.375" style="100" customWidth="1"/>
    <col min="8453" max="8453" width="23.125" style="100" customWidth="1"/>
    <col min="8454" max="8704" width="8.75" style="100"/>
    <col min="8705" max="8705" width="7.25" style="100" customWidth="1"/>
    <col min="8706" max="8706" width="29.125" style="100" customWidth="1"/>
    <col min="8707" max="8708" width="17.375" style="100" customWidth="1"/>
    <col min="8709" max="8709" width="23.125" style="100" customWidth="1"/>
    <col min="8710" max="8960" width="8.75" style="100"/>
    <col min="8961" max="8961" width="7.25" style="100" customWidth="1"/>
    <col min="8962" max="8962" width="29.125" style="100" customWidth="1"/>
    <col min="8963" max="8964" width="17.375" style="100" customWidth="1"/>
    <col min="8965" max="8965" width="23.125" style="100" customWidth="1"/>
    <col min="8966" max="9216" width="8.75" style="100"/>
    <col min="9217" max="9217" width="7.25" style="100" customWidth="1"/>
    <col min="9218" max="9218" width="29.125" style="100" customWidth="1"/>
    <col min="9219" max="9220" width="17.375" style="100" customWidth="1"/>
    <col min="9221" max="9221" width="23.125" style="100" customWidth="1"/>
    <col min="9222" max="9472" width="8.75" style="100"/>
    <col min="9473" max="9473" width="7.25" style="100" customWidth="1"/>
    <col min="9474" max="9474" width="29.125" style="100" customWidth="1"/>
    <col min="9475" max="9476" width="17.375" style="100" customWidth="1"/>
    <col min="9477" max="9477" width="23.125" style="100" customWidth="1"/>
    <col min="9478" max="9728" width="8.75" style="100"/>
    <col min="9729" max="9729" width="7.25" style="100" customWidth="1"/>
    <col min="9730" max="9730" width="29.125" style="100" customWidth="1"/>
    <col min="9731" max="9732" width="17.375" style="100" customWidth="1"/>
    <col min="9733" max="9733" width="23.125" style="100" customWidth="1"/>
    <col min="9734" max="9984" width="8.75" style="100"/>
    <col min="9985" max="9985" width="7.25" style="100" customWidth="1"/>
    <col min="9986" max="9986" width="29.125" style="100" customWidth="1"/>
    <col min="9987" max="9988" width="17.375" style="100" customWidth="1"/>
    <col min="9989" max="9989" width="23.125" style="100" customWidth="1"/>
    <col min="9990" max="10240" width="8.75" style="100"/>
    <col min="10241" max="10241" width="7.25" style="100" customWidth="1"/>
    <col min="10242" max="10242" width="29.125" style="100" customWidth="1"/>
    <col min="10243" max="10244" width="17.375" style="100" customWidth="1"/>
    <col min="10245" max="10245" width="23.125" style="100" customWidth="1"/>
    <col min="10246" max="10496" width="8.75" style="100"/>
    <col min="10497" max="10497" width="7.25" style="100" customWidth="1"/>
    <col min="10498" max="10498" width="29.125" style="100" customWidth="1"/>
    <col min="10499" max="10500" width="17.375" style="100" customWidth="1"/>
    <col min="10501" max="10501" width="23.125" style="100" customWidth="1"/>
    <col min="10502" max="10752" width="8.75" style="100"/>
    <col min="10753" max="10753" width="7.25" style="100" customWidth="1"/>
    <col min="10754" max="10754" width="29.125" style="100" customWidth="1"/>
    <col min="10755" max="10756" width="17.375" style="100" customWidth="1"/>
    <col min="10757" max="10757" width="23.125" style="100" customWidth="1"/>
    <col min="10758" max="11008" width="8.75" style="100"/>
    <col min="11009" max="11009" width="7.25" style="100" customWidth="1"/>
    <col min="11010" max="11010" width="29.125" style="100" customWidth="1"/>
    <col min="11011" max="11012" width="17.375" style="100" customWidth="1"/>
    <col min="11013" max="11013" width="23.125" style="100" customWidth="1"/>
    <col min="11014" max="11264" width="8.75" style="100"/>
    <col min="11265" max="11265" width="7.25" style="100" customWidth="1"/>
    <col min="11266" max="11266" width="29.125" style="100" customWidth="1"/>
    <col min="11267" max="11268" width="17.375" style="100" customWidth="1"/>
    <col min="11269" max="11269" width="23.125" style="100" customWidth="1"/>
    <col min="11270" max="11520" width="8.75" style="100"/>
    <col min="11521" max="11521" width="7.25" style="100" customWidth="1"/>
    <col min="11522" max="11522" width="29.125" style="100" customWidth="1"/>
    <col min="11523" max="11524" width="17.375" style="100" customWidth="1"/>
    <col min="11525" max="11525" width="23.125" style="100" customWidth="1"/>
    <col min="11526" max="11776" width="8.75" style="100"/>
    <col min="11777" max="11777" width="7.25" style="100" customWidth="1"/>
    <col min="11778" max="11778" width="29.125" style="100" customWidth="1"/>
    <col min="11779" max="11780" width="17.375" style="100" customWidth="1"/>
    <col min="11781" max="11781" width="23.125" style="100" customWidth="1"/>
    <col min="11782" max="12032" width="8.75" style="100"/>
    <col min="12033" max="12033" width="7.25" style="100" customWidth="1"/>
    <col min="12034" max="12034" width="29.125" style="100" customWidth="1"/>
    <col min="12035" max="12036" width="17.375" style="100" customWidth="1"/>
    <col min="12037" max="12037" width="23.125" style="100" customWidth="1"/>
    <col min="12038" max="12288" width="8.75" style="100"/>
    <col min="12289" max="12289" width="7.25" style="100" customWidth="1"/>
    <col min="12290" max="12290" width="29.125" style="100" customWidth="1"/>
    <col min="12291" max="12292" width="17.375" style="100" customWidth="1"/>
    <col min="12293" max="12293" width="23.125" style="100" customWidth="1"/>
    <col min="12294" max="12544" width="8.75" style="100"/>
    <col min="12545" max="12545" width="7.25" style="100" customWidth="1"/>
    <col min="12546" max="12546" width="29.125" style="100" customWidth="1"/>
    <col min="12547" max="12548" width="17.375" style="100" customWidth="1"/>
    <col min="12549" max="12549" width="23.125" style="100" customWidth="1"/>
    <col min="12550" max="12800" width="8.75" style="100"/>
    <col min="12801" max="12801" width="7.25" style="100" customWidth="1"/>
    <col min="12802" max="12802" width="29.125" style="100" customWidth="1"/>
    <col min="12803" max="12804" width="17.375" style="100" customWidth="1"/>
    <col min="12805" max="12805" width="23.125" style="100" customWidth="1"/>
    <col min="12806" max="13056" width="8.75" style="100"/>
    <col min="13057" max="13057" width="7.25" style="100" customWidth="1"/>
    <col min="13058" max="13058" width="29.125" style="100" customWidth="1"/>
    <col min="13059" max="13060" width="17.375" style="100" customWidth="1"/>
    <col min="13061" max="13061" width="23.125" style="100" customWidth="1"/>
    <col min="13062" max="13312" width="8.75" style="100"/>
    <col min="13313" max="13313" width="7.25" style="100" customWidth="1"/>
    <col min="13314" max="13314" width="29.125" style="100" customWidth="1"/>
    <col min="13315" max="13316" width="17.375" style="100" customWidth="1"/>
    <col min="13317" max="13317" width="23.125" style="100" customWidth="1"/>
    <col min="13318" max="13568" width="8.75" style="100"/>
    <col min="13569" max="13569" width="7.25" style="100" customWidth="1"/>
    <col min="13570" max="13570" width="29.125" style="100" customWidth="1"/>
    <col min="13571" max="13572" width="17.375" style="100" customWidth="1"/>
    <col min="13573" max="13573" width="23.125" style="100" customWidth="1"/>
    <col min="13574" max="13824" width="8.75" style="100"/>
    <col min="13825" max="13825" width="7.25" style="100" customWidth="1"/>
    <col min="13826" max="13826" width="29.125" style="100" customWidth="1"/>
    <col min="13827" max="13828" width="17.375" style="100" customWidth="1"/>
    <col min="13829" max="13829" width="23.125" style="100" customWidth="1"/>
    <col min="13830" max="14080" width="8.75" style="100"/>
    <col min="14081" max="14081" width="7.25" style="100" customWidth="1"/>
    <col min="14082" max="14082" width="29.125" style="100" customWidth="1"/>
    <col min="14083" max="14084" width="17.375" style="100" customWidth="1"/>
    <col min="14085" max="14085" width="23.125" style="100" customWidth="1"/>
    <col min="14086" max="14336" width="8.75" style="100"/>
    <col min="14337" max="14337" width="7.25" style="100" customWidth="1"/>
    <col min="14338" max="14338" width="29.125" style="100" customWidth="1"/>
    <col min="14339" max="14340" width="17.375" style="100" customWidth="1"/>
    <col min="14341" max="14341" width="23.125" style="100" customWidth="1"/>
    <col min="14342" max="14592" width="8.75" style="100"/>
    <col min="14593" max="14593" width="7.25" style="100" customWidth="1"/>
    <col min="14594" max="14594" width="29.125" style="100" customWidth="1"/>
    <col min="14595" max="14596" width="17.375" style="100" customWidth="1"/>
    <col min="14597" max="14597" width="23.125" style="100" customWidth="1"/>
    <col min="14598" max="14848" width="8.75" style="100"/>
    <col min="14849" max="14849" width="7.25" style="100" customWidth="1"/>
    <col min="14850" max="14850" width="29.125" style="100" customWidth="1"/>
    <col min="14851" max="14852" width="17.375" style="100" customWidth="1"/>
    <col min="14853" max="14853" width="23.125" style="100" customWidth="1"/>
    <col min="14854" max="15104" width="8.75" style="100"/>
    <col min="15105" max="15105" width="7.25" style="100" customWidth="1"/>
    <col min="15106" max="15106" width="29.125" style="100" customWidth="1"/>
    <col min="15107" max="15108" width="17.375" style="100" customWidth="1"/>
    <col min="15109" max="15109" width="23.125" style="100" customWidth="1"/>
    <col min="15110" max="15360" width="8.75" style="100"/>
    <col min="15361" max="15361" width="7.25" style="100" customWidth="1"/>
    <col min="15362" max="15362" width="29.125" style="100" customWidth="1"/>
    <col min="15363" max="15364" width="17.375" style="100" customWidth="1"/>
    <col min="15365" max="15365" width="23.125" style="100" customWidth="1"/>
    <col min="15366" max="15616" width="8.75" style="100"/>
    <col min="15617" max="15617" width="7.25" style="100" customWidth="1"/>
    <col min="15618" max="15618" width="29.125" style="100" customWidth="1"/>
    <col min="15619" max="15620" width="17.375" style="100" customWidth="1"/>
    <col min="15621" max="15621" width="23.125" style="100" customWidth="1"/>
    <col min="15622" max="15872" width="8.75" style="100"/>
    <col min="15873" max="15873" width="7.25" style="100" customWidth="1"/>
    <col min="15874" max="15874" width="29.125" style="100" customWidth="1"/>
    <col min="15875" max="15876" width="17.375" style="100" customWidth="1"/>
    <col min="15877" max="15877" width="23.125" style="100" customWidth="1"/>
    <col min="15878" max="16128" width="8.75" style="100"/>
    <col min="16129" max="16129" width="7.25" style="100" customWidth="1"/>
    <col min="16130" max="16130" width="29.125" style="100" customWidth="1"/>
    <col min="16131" max="16132" width="17.375" style="100" customWidth="1"/>
    <col min="16133" max="16133" width="23.125" style="100" customWidth="1"/>
    <col min="16134" max="16384" width="8.75" style="100"/>
  </cols>
  <sheetData>
    <row r="1" spans="1:44" s="75" customFormat="1" ht="18.75" customHeight="1">
      <c r="A1" s="71" t="s">
        <v>175</v>
      </c>
      <c r="B1" s="72"/>
      <c r="C1" s="73"/>
      <c r="D1" s="73"/>
      <c r="E1" s="74"/>
      <c r="G1" s="76"/>
      <c r="H1" s="76"/>
      <c r="J1" s="72"/>
      <c r="K1" s="77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spans="1:44" s="75" customFormat="1" ht="15.75">
      <c r="A2" s="71" t="s">
        <v>176</v>
      </c>
      <c r="B2" s="72"/>
      <c r="C2" s="73"/>
      <c r="D2" s="73"/>
      <c r="E2" s="74"/>
      <c r="G2" s="76"/>
      <c r="H2" s="76"/>
      <c r="J2" s="79"/>
      <c r="K2" s="77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</row>
    <row r="3" spans="1:44" s="75" customFormat="1" ht="15.75">
      <c r="A3" s="71"/>
      <c r="B3" s="72"/>
      <c r="C3" s="73"/>
      <c r="D3" s="73"/>
      <c r="E3" s="74"/>
      <c r="G3" s="76"/>
      <c r="H3" s="76"/>
      <c r="J3" s="79"/>
      <c r="K3" s="77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</row>
    <row r="4" spans="1:44" s="75" customFormat="1" ht="18.75">
      <c r="A4" s="208" t="s">
        <v>177</v>
      </c>
      <c r="B4" s="208"/>
      <c r="C4" s="208"/>
      <c r="D4" s="208"/>
      <c r="E4" s="208"/>
      <c r="F4" s="80"/>
      <c r="G4" s="80"/>
      <c r="H4" s="80"/>
      <c r="I4" s="80"/>
      <c r="J4" s="80"/>
      <c r="K4" s="80"/>
      <c r="L4" s="80"/>
      <c r="M4" s="80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</row>
    <row r="5" spans="1:44" s="83" customFormat="1" ht="15.75">
      <c r="A5" s="209" t="s">
        <v>178</v>
      </c>
      <c r="B5" s="209"/>
      <c r="C5" s="209"/>
      <c r="D5" s="209"/>
      <c r="E5" s="209"/>
      <c r="F5" s="81"/>
      <c r="G5" s="81"/>
      <c r="H5" s="81"/>
      <c r="I5" s="81"/>
      <c r="J5" s="81"/>
      <c r="K5" s="81"/>
      <c r="L5" s="81"/>
      <c r="M5" s="81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</row>
    <row r="6" spans="1:44" s="84" customFormat="1" ht="6" customHeight="1">
      <c r="B6" s="85"/>
      <c r="C6" s="86"/>
      <c r="D6" s="86"/>
      <c r="E6" s="86"/>
    </row>
    <row r="7" spans="1:44" s="87" customFormat="1" ht="12" customHeight="1">
      <c r="A7" s="210" t="s">
        <v>179</v>
      </c>
      <c r="B7" s="210" t="s">
        <v>180</v>
      </c>
      <c r="C7" s="210" t="s">
        <v>181</v>
      </c>
      <c r="D7" s="210" t="s">
        <v>182</v>
      </c>
      <c r="E7" s="210" t="s">
        <v>34</v>
      </c>
    </row>
    <row r="8" spans="1:44" s="87" customFormat="1" ht="12" customHeight="1">
      <c r="A8" s="210"/>
      <c r="B8" s="210"/>
      <c r="C8" s="210"/>
      <c r="D8" s="210"/>
      <c r="E8" s="210"/>
    </row>
    <row r="9" spans="1:44" s="91" customFormat="1" ht="15.75" customHeight="1">
      <c r="A9" s="88" t="s">
        <v>183</v>
      </c>
      <c r="B9" s="88" t="s">
        <v>184</v>
      </c>
      <c r="C9" s="89">
        <f>SUM(C10:C14)</f>
        <v>2500000</v>
      </c>
      <c r="D9" s="90">
        <f>SUM(D10:D14)</f>
        <v>2500000</v>
      </c>
      <c r="E9" s="88"/>
    </row>
    <row r="10" spans="1:44" s="97" customFormat="1" ht="15.75" customHeight="1">
      <c r="A10" s="92">
        <v>1</v>
      </c>
      <c r="B10" s="93" t="s">
        <v>185</v>
      </c>
      <c r="C10" s="94">
        <v>500000</v>
      </c>
      <c r="D10" s="95">
        <f>C10</f>
        <v>500000</v>
      </c>
      <c r="E10" s="96"/>
    </row>
    <row r="11" spans="1:44" s="97" customFormat="1" ht="15.75" customHeight="1">
      <c r="A11" s="92">
        <v>2</v>
      </c>
      <c r="B11" s="93" t="s">
        <v>186</v>
      </c>
      <c r="C11" s="94">
        <v>500000</v>
      </c>
      <c r="D11" s="95">
        <f t="shared" ref="D11:D74" si="0">C11</f>
        <v>500000</v>
      </c>
      <c r="E11" s="96"/>
    </row>
    <row r="12" spans="1:44" s="97" customFormat="1" ht="15.75" customHeight="1">
      <c r="A12" s="92">
        <v>3</v>
      </c>
      <c r="B12" s="93" t="s">
        <v>187</v>
      </c>
      <c r="C12" s="94">
        <v>500000</v>
      </c>
      <c r="D12" s="95">
        <f t="shared" si="0"/>
        <v>500000</v>
      </c>
      <c r="E12" s="96"/>
    </row>
    <row r="13" spans="1:44" s="97" customFormat="1" ht="15.75" customHeight="1">
      <c r="A13" s="92">
        <v>4</v>
      </c>
      <c r="B13" s="93" t="s">
        <v>188</v>
      </c>
      <c r="C13" s="94">
        <v>500000</v>
      </c>
      <c r="D13" s="95">
        <f t="shared" si="0"/>
        <v>500000</v>
      </c>
      <c r="E13" s="96"/>
    </row>
    <row r="14" spans="1:44" s="97" customFormat="1" ht="15.75" customHeight="1">
      <c r="A14" s="92">
        <v>5</v>
      </c>
      <c r="B14" s="93" t="s">
        <v>189</v>
      </c>
      <c r="C14" s="94">
        <v>500000</v>
      </c>
      <c r="D14" s="95">
        <f t="shared" si="0"/>
        <v>500000</v>
      </c>
      <c r="E14" s="96"/>
    </row>
    <row r="15" spans="1:44" s="91" customFormat="1" ht="15.75" customHeight="1">
      <c r="A15" s="88" t="s">
        <v>190</v>
      </c>
      <c r="B15" s="88" t="s">
        <v>191</v>
      </c>
      <c r="C15" s="98">
        <f>SUM(C16:C21)</f>
        <v>3000000</v>
      </c>
      <c r="D15" s="98">
        <f>SUM(D16:D21)</f>
        <v>3000000</v>
      </c>
      <c r="E15" s="88"/>
    </row>
    <row r="16" spans="1:44" s="97" customFormat="1" ht="15.75" customHeight="1">
      <c r="A16" s="92">
        <v>6</v>
      </c>
      <c r="B16" s="93" t="s">
        <v>192</v>
      </c>
      <c r="C16" s="94">
        <v>500000</v>
      </c>
      <c r="D16" s="95">
        <f t="shared" si="0"/>
        <v>500000</v>
      </c>
      <c r="E16" s="96"/>
    </row>
    <row r="17" spans="1:5" s="97" customFormat="1" ht="15.75" customHeight="1">
      <c r="A17" s="92">
        <v>7</v>
      </c>
      <c r="B17" s="93" t="s">
        <v>193</v>
      </c>
      <c r="C17" s="94">
        <v>500000</v>
      </c>
      <c r="D17" s="95">
        <f t="shared" si="0"/>
        <v>500000</v>
      </c>
      <c r="E17" s="96"/>
    </row>
    <row r="18" spans="1:5" s="97" customFormat="1" ht="15.75" customHeight="1">
      <c r="A18" s="92">
        <v>8</v>
      </c>
      <c r="B18" s="93" t="s">
        <v>194</v>
      </c>
      <c r="C18" s="94">
        <v>500000</v>
      </c>
      <c r="D18" s="95">
        <f t="shared" si="0"/>
        <v>500000</v>
      </c>
      <c r="E18" s="96"/>
    </row>
    <row r="19" spans="1:5" s="97" customFormat="1" ht="15.75" customHeight="1">
      <c r="A19" s="92">
        <v>9</v>
      </c>
      <c r="B19" s="99" t="s">
        <v>195</v>
      </c>
      <c r="C19" s="94">
        <v>500000</v>
      </c>
      <c r="D19" s="95">
        <f t="shared" si="0"/>
        <v>500000</v>
      </c>
      <c r="E19" s="96"/>
    </row>
    <row r="20" spans="1:5" s="97" customFormat="1" ht="15.75" customHeight="1">
      <c r="A20" s="92">
        <v>10</v>
      </c>
      <c r="B20" s="93" t="s">
        <v>196</v>
      </c>
      <c r="C20" s="94">
        <v>500000</v>
      </c>
      <c r="D20" s="95">
        <f t="shared" si="0"/>
        <v>500000</v>
      </c>
      <c r="E20" s="96"/>
    </row>
    <row r="21" spans="1:5" s="97" customFormat="1" ht="15.75" customHeight="1">
      <c r="A21" s="92">
        <v>11</v>
      </c>
      <c r="B21" s="93" t="s">
        <v>197</v>
      </c>
      <c r="C21" s="94">
        <v>500000</v>
      </c>
      <c r="D21" s="95">
        <f t="shared" si="0"/>
        <v>500000</v>
      </c>
      <c r="E21" s="96"/>
    </row>
    <row r="22" spans="1:5" s="91" customFormat="1" ht="15.75" customHeight="1">
      <c r="A22" s="88" t="s">
        <v>152</v>
      </c>
      <c r="B22" s="88" t="s">
        <v>198</v>
      </c>
      <c r="C22" s="98">
        <f>SUM(C23:C28)</f>
        <v>3000000</v>
      </c>
      <c r="D22" s="98">
        <f>SUM(D23:D28)</f>
        <v>3000000</v>
      </c>
      <c r="E22" s="88"/>
    </row>
    <row r="23" spans="1:5" ht="15.75" customHeight="1">
      <c r="A23" s="92">
        <v>12</v>
      </c>
      <c r="B23" s="93" t="s">
        <v>199</v>
      </c>
      <c r="C23" s="94">
        <v>500000</v>
      </c>
      <c r="D23" s="95">
        <f t="shared" si="0"/>
        <v>500000</v>
      </c>
      <c r="E23" s="96"/>
    </row>
    <row r="24" spans="1:5" ht="15.75" customHeight="1">
      <c r="A24" s="92">
        <v>13</v>
      </c>
      <c r="B24" s="93" t="s">
        <v>200</v>
      </c>
      <c r="C24" s="94">
        <v>500000</v>
      </c>
      <c r="D24" s="95">
        <f t="shared" si="0"/>
        <v>500000</v>
      </c>
      <c r="E24" s="101"/>
    </row>
    <row r="25" spans="1:5" ht="15.75" customHeight="1">
      <c r="A25" s="92">
        <v>14</v>
      </c>
      <c r="B25" s="93" t="s">
        <v>201</v>
      </c>
      <c r="C25" s="94">
        <v>500000</v>
      </c>
      <c r="D25" s="95">
        <f t="shared" si="0"/>
        <v>500000</v>
      </c>
      <c r="E25" s="96"/>
    </row>
    <row r="26" spans="1:5" ht="15.75" customHeight="1">
      <c r="A26" s="92">
        <v>15</v>
      </c>
      <c r="B26" s="93" t="s">
        <v>202</v>
      </c>
      <c r="C26" s="94">
        <v>500000</v>
      </c>
      <c r="D26" s="95">
        <f t="shared" si="0"/>
        <v>500000</v>
      </c>
      <c r="E26" s="96"/>
    </row>
    <row r="27" spans="1:5" ht="15.75" customHeight="1">
      <c r="A27" s="92">
        <v>16</v>
      </c>
      <c r="B27" s="93" t="s">
        <v>203</v>
      </c>
      <c r="C27" s="94">
        <v>500000</v>
      </c>
      <c r="D27" s="95">
        <f t="shared" si="0"/>
        <v>500000</v>
      </c>
      <c r="E27" s="96"/>
    </row>
    <row r="28" spans="1:5" ht="15.75" customHeight="1">
      <c r="A28" s="92">
        <v>17</v>
      </c>
      <c r="B28" s="93" t="s">
        <v>204</v>
      </c>
      <c r="C28" s="94">
        <v>500000</v>
      </c>
      <c r="D28" s="95">
        <f t="shared" si="0"/>
        <v>500000</v>
      </c>
      <c r="E28" s="96"/>
    </row>
    <row r="29" spans="1:5" s="87" customFormat="1" ht="15.75" customHeight="1">
      <c r="A29" s="88" t="s">
        <v>205</v>
      </c>
      <c r="B29" s="88" t="s">
        <v>206</v>
      </c>
      <c r="C29" s="98">
        <f>SUM(C30:C35)</f>
        <v>3000000</v>
      </c>
      <c r="D29" s="98">
        <f>SUM(D30:D35)</f>
        <v>3000000</v>
      </c>
      <c r="E29" s="88"/>
    </row>
    <row r="30" spans="1:5" ht="15.75" customHeight="1">
      <c r="A30" s="92">
        <v>18</v>
      </c>
      <c r="B30" s="93" t="s">
        <v>207</v>
      </c>
      <c r="C30" s="94">
        <v>500000</v>
      </c>
      <c r="D30" s="95">
        <f t="shared" si="0"/>
        <v>500000</v>
      </c>
      <c r="E30" s="96"/>
    </row>
    <row r="31" spans="1:5" ht="15.75" customHeight="1">
      <c r="A31" s="92">
        <v>19</v>
      </c>
      <c r="B31" s="93" t="s">
        <v>208</v>
      </c>
      <c r="C31" s="94">
        <v>500000</v>
      </c>
      <c r="D31" s="95">
        <f t="shared" si="0"/>
        <v>500000</v>
      </c>
      <c r="E31" s="96"/>
    </row>
    <row r="32" spans="1:5" ht="15.75" customHeight="1">
      <c r="A32" s="92">
        <v>20</v>
      </c>
      <c r="B32" s="93" t="s">
        <v>209</v>
      </c>
      <c r="C32" s="94">
        <v>500000</v>
      </c>
      <c r="D32" s="95">
        <f t="shared" si="0"/>
        <v>500000</v>
      </c>
      <c r="E32" s="96"/>
    </row>
    <row r="33" spans="1:5" ht="15.75" customHeight="1">
      <c r="A33" s="92">
        <v>21</v>
      </c>
      <c r="B33" s="93" t="s">
        <v>210</v>
      </c>
      <c r="C33" s="94">
        <v>500000</v>
      </c>
      <c r="D33" s="95">
        <f t="shared" si="0"/>
        <v>500000</v>
      </c>
      <c r="E33" s="96"/>
    </row>
    <row r="34" spans="1:5" ht="15.75" customHeight="1">
      <c r="A34" s="92">
        <v>22</v>
      </c>
      <c r="B34" s="93" t="s">
        <v>211</v>
      </c>
      <c r="C34" s="94">
        <v>500000</v>
      </c>
      <c r="D34" s="95">
        <f t="shared" si="0"/>
        <v>500000</v>
      </c>
      <c r="E34" s="96"/>
    </row>
    <row r="35" spans="1:5" ht="15.75" customHeight="1">
      <c r="A35" s="92">
        <v>23</v>
      </c>
      <c r="B35" s="93" t="s">
        <v>212</v>
      </c>
      <c r="C35" s="94">
        <v>500000</v>
      </c>
      <c r="D35" s="95">
        <f t="shared" si="0"/>
        <v>500000</v>
      </c>
      <c r="E35" s="96"/>
    </row>
    <row r="36" spans="1:5" s="91" customFormat="1" ht="15.75" customHeight="1">
      <c r="A36" s="88" t="s">
        <v>213</v>
      </c>
      <c r="B36" s="88" t="s">
        <v>214</v>
      </c>
      <c r="C36" s="98">
        <f>SUM(C37:C40)</f>
        <v>2000000</v>
      </c>
      <c r="D36" s="102">
        <f t="shared" si="0"/>
        <v>2000000</v>
      </c>
      <c r="E36" s="88"/>
    </row>
    <row r="37" spans="1:5" ht="15.75" customHeight="1">
      <c r="A37" s="92">
        <v>24</v>
      </c>
      <c r="B37" s="93" t="s">
        <v>215</v>
      </c>
      <c r="C37" s="94">
        <v>500000</v>
      </c>
      <c r="D37" s="95">
        <f t="shared" si="0"/>
        <v>500000</v>
      </c>
      <c r="E37" s="96"/>
    </row>
    <row r="38" spans="1:5" ht="15.75" customHeight="1">
      <c r="A38" s="92">
        <v>25</v>
      </c>
      <c r="B38" s="93" t="s">
        <v>216</v>
      </c>
      <c r="C38" s="94">
        <v>500000</v>
      </c>
      <c r="D38" s="95">
        <f t="shared" si="0"/>
        <v>500000</v>
      </c>
      <c r="E38" s="96"/>
    </row>
    <row r="39" spans="1:5" ht="15.75" customHeight="1">
      <c r="A39" s="92">
        <v>26</v>
      </c>
      <c r="B39" s="93" t="s">
        <v>188</v>
      </c>
      <c r="C39" s="94">
        <v>500000</v>
      </c>
      <c r="D39" s="95">
        <f t="shared" si="0"/>
        <v>500000</v>
      </c>
      <c r="E39" s="96"/>
    </row>
    <row r="40" spans="1:5" ht="15.75" customHeight="1">
      <c r="A40" s="92">
        <v>27</v>
      </c>
      <c r="B40" s="93" t="s">
        <v>217</v>
      </c>
      <c r="C40" s="94">
        <v>500000</v>
      </c>
      <c r="D40" s="95">
        <f t="shared" si="0"/>
        <v>500000</v>
      </c>
      <c r="E40" s="96"/>
    </row>
    <row r="41" spans="1:5" s="91" customFormat="1" ht="15.75" customHeight="1">
      <c r="A41" s="88" t="s">
        <v>218</v>
      </c>
      <c r="B41" s="88" t="s">
        <v>219</v>
      </c>
      <c r="C41" s="98">
        <f>SUM(C42:C47)</f>
        <v>3000000</v>
      </c>
      <c r="D41" s="102">
        <f t="shared" si="0"/>
        <v>3000000</v>
      </c>
      <c r="E41" s="88"/>
    </row>
    <row r="42" spans="1:5" ht="15.75" customHeight="1">
      <c r="A42" s="92">
        <v>28</v>
      </c>
      <c r="B42" s="99" t="s">
        <v>220</v>
      </c>
      <c r="C42" s="94">
        <v>500000</v>
      </c>
      <c r="D42" s="95">
        <f t="shared" si="0"/>
        <v>500000</v>
      </c>
      <c r="E42" s="96"/>
    </row>
    <row r="43" spans="1:5" ht="15.75" customHeight="1">
      <c r="A43" s="92">
        <v>29</v>
      </c>
      <c r="B43" s="93" t="s">
        <v>221</v>
      </c>
      <c r="C43" s="94">
        <v>500000</v>
      </c>
      <c r="D43" s="95">
        <f t="shared" si="0"/>
        <v>500000</v>
      </c>
      <c r="E43" s="96"/>
    </row>
    <row r="44" spans="1:5" ht="15.75" customHeight="1">
      <c r="A44" s="92">
        <v>30</v>
      </c>
      <c r="B44" s="99" t="s">
        <v>222</v>
      </c>
      <c r="C44" s="94">
        <v>500000</v>
      </c>
      <c r="D44" s="95">
        <f t="shared" si="0"/>
        <v>500000</v>
      </c>
      <c r="E44" s="96"/>
    </row>
    <row r="45" spans="1:5" ht="15.75" customHeight="1">
      <c r="A45" s="92">
        <v>31</v>
      </c>
      <c r="B45" s="99" t="s">
        <v>223</v>
      </c>
      <c r="C45" s="94">
        <v>500000</v>
      </c>
      <c r="D45" s="95">
        <f t="shared" si="0"/>
        <v>500000</v>
      </c>
      <c r="E45" s="96"/>
    </row>
    <row r="46" spans="1:5" ht="15.75" customHeight="1">
      <c r="A46" s="92">
        <v>32</v>
      </c>
      <c r="B46" s="99" t="s">
        <v>224</v>
      </c>
      <c r="C46" s="94">
        <v>500000</v>
      </c>
      <c r="D46" s="95">
        <f t="shared" si="0"/>
        <v>500000</v>
      </c>
      <c r="E46" s="96"/>
    </row>
    <row r="47" spans="1:5" ht="15.75" customHeight="1">
      <c r="A47" s="92">
        <v>33</v>
      </c>
      <c r="B47" s="93" t="s">
        <v>225</v>
      </c>
      <c r="C47" s="94">
        <v>500000</v>
      </c>
      <c r="D47" s="95">
        <f t="shared" si="0"/>
        <v>500000</v>
      </c>
      <c r="E47" s="96"/>
    </row>
    <row r="48" spans="1:5" s="91" customFormat="1" ht="15.75" customHeight="1">
      <c r="A48" s="88" t="s">
        <v>226</v>
      </c>
      <c r="B48" s="88" t="s">
        <v>227</v>
      </c>
      <c r="C48" s="98">
        <f>SUM(C49:C54)</f>
        <v>2500000</v>
      </c>
      <c r="D48" s="102">
        <f t="shared" si="0"/>
        <v>2500000</v>
      </c>
      <c r="E48" s="88"/>
    </row>
    <row r="49" spans="1:256" ht="15.75" customHeight="1">
      <c r="A49" s="92">
        <v>34</v>
      </c>
      <c r="B49" s="93" t="s">
        <v>228</v>
      </c>
      <c r="C49" s="94">
        <v>500000</v>
      </c>
      <c r="D49" s="95">
        <f t="shared" si="0"/>
        <v>500000</v>
      </c>
      <c r="E49" s="96"/>
    </row>
    <row r="50" spans="1:256" ht="15.75" customHeight="1">
      <c r="A50" s="92">
        <v>35</v>
      </c>
      <c r="B50" s="93" t="s">
        <v>229</v>
      </c>
      <c r="C50" s="94">
        <v>500000</v>
      </c>
      <c r="D50" s="95">
        <f t="shared" si="0"/>
        <v>500000</v>
      </c>
      <c r="E50" s="96"/>
    </row>
    <row r="51" spans="1:256" ht="15.75" customHeight="1">
      <c r="A51" s="92">
        <v>36</v>
      </c>
      <c r="B51" s="93" t="s">
        <v>230</v>
      </c>
      <c r="C51" s="94">
        <v>500000</v>
      </c>
      <c r="D51" s="95">
        <f t="shared" si="0"/>
        <v>500000</v>
      </c>
      <c r="E51" s="96"/>
    </row>
    <row r="52" spans="1:256" ht="15.75" customHeight="1">
      <c r="A52" s="92">
        <v>37</v>
      </c>
      <c r="B52" s="93" t="s">
        <v>231</v>
      </c>
      <c r="C52" s="94">
        <v>500000</v>
      </c>
      <c r="D52" s="95">
        <f t="shared" si="0"/>
        <v>500000</v>
      </c>
      <c r="E52" s="96"/>
    </row>
    <row r="53" spans="1:256" ht="15.75" customHeight="1">
      <c r="A53" s="92">
        <v>38</v>
      </c>
      <c r="B53" s="93" t="s">
        <v>232</v>
      </c>
      <c r="C53" s="94"/>
      <c r="D53" s="95"/>
      <c r="E53" s="96" t="s">
        <v>233</v>
      </c>
    </row>
    <row r="54" spans="1:256" ht="15.75" customHeight="1">
      <c r="A54" s="92">
        <v>39</v>
      </c>
      <c r="B54" s="93" t="s">
        <v>234</v>
      </c>
      <c r="C54" s="94">
        <v>500000</v>
      </c>
      <c r="D54" s="95">
        <f t="shared" si="0"/>
        <v>500000</v>
      </c>
      <c r="E54" s="96"/>
    </row>
    <row r="55" spans="1:256" s="91" customFormat="1" ht="15.75" customHeight="1">
      <c r="A55" s="88" t="s">
        <v>235</v>
      </c>
      <c r="B55" s="88" t="s">
        <v>236</v>
      </c>
      <c r="C55" s="98">
        <f>SUM(C56:C61)</f>
        <v>3000000</v>
      </c>
      <c r="D55" s="102">
        <f t="shared" si="0"/>
        <v>3000000</v>
      </c>
      <c r="E55" s="88"/>
      <c r="IV55" s="103">
        <f>SUM(D55:IU55)</f>
        <v>3000000</v>
      </c>
    </row>
    <row r="56" spans="1:256" ht="15.75" customHeight="1">
      <c r="A56" s="92">
        <v>40</v>
      </c>
      <c r="B56" s="93" t="s">
        <v>237</v>
      </c>
      <c r="C56" s="94">
        <v>500000</v>
      </c>
      <c r="D56" s="95">
        <f t="shared" si="0"/>
        <v>500000</v>
      </c>
      <c r="E56" s="96"/>
    </row>
    <row r="57" spans="1:256" ht="15.75" customHeight="1">
      <c r="A57" s="92">
        <v>41</v>
      </c>
      <c r="B57" s="93" t="s">
        <v>238</v>
      </c>
      <c r="C57" s="94">
        <v>500000</v>
      </c>
      <c r="D57" s="95">
        <f t="shared" si="0"/>
        <v>500000</v>
      </c>
      <c r="E57" s="96"/>
    </row>
    <row r="58" spans="1:256" ht="15.75" customHeight="1">
      <c r="A58" s="92">
        <v>42</v>
      </c>
      <c r="B58" s="93" t="s">
        <v>239</v>
      </c>
      <c r="C58" s="94">
        <v>500000</v>
      </c>
      <c r="D58" s="95">
        <f t="shared" si="0"/>
        <v>500000</v>
      </c>
      <c r="E58" s="96"/>
    </row>
    <row r="59" spans="1:256" ht="15.75" customHeight="1">
      <c r="A59" s="92">
        <v>43</v>
      </c>
      <c r="B59" s="93" t="s">
        <v>240</v>
      </c>
      <c r="C59" s="94">
        <v>500000</v>
      </c>
      <c r="D59" s="95">
        <f t="shared" si="0"/>
        <v>500000</v>
      </c>
      <c r="E59" s="104"/>
    </row>
    <row r="60" spans="1:256" ht="15.75" customHeight="1">
      <c r="A60" s="92">
        <v>44</v>
      </c>
      <c r="B60" s="105" t="s">
        <v>241</v>
      </c>
      <c r="C60" s="94">
        <v>500000</v>
      </c>
      <c r="D60" s="95">
        <f t="shared" si="0"/>
        <v>500000</v>
      </c>
      <c r="E60" s="96"/>
    </row>
    <row r="61" spans="1:256" ht="15.75" customHeight="1">
      <c r="A61" s="92">
        <v>45</v>
      </c>
      <c r="B61" s="93" t="s">
        <v>242</v>
      </c>
      <c r="C61" s="94">
        <v>500000</v>
      </c>
      <c r="D61" s="95">
        <f t="shared" si="0"/>
        <v>500000</v>
      </c>
      <c r="E61" s="96"/>
    </row>
    <row r="62" spans="1:256" s="91" customFormat="1" ht="15.75" customHeight="1">
      <c r="A62" s="88" t="s">
        <v>243</v>
      </c>
      <c r="B62" s="88" t="s">
        <v>244</v>
      </c>
      <c r="C62" s="98">
        <f>SUM(C63:C66)</f>
        <v>2000000</v>
      </c>
      <c r="D62" s="102">
        <f t="shared" si="0"/>
        <v>2000000</v>
      </c>
      <c r="E62" s="88"/>
    </row>
    <row r="63" spans="1:256" ht="15.75" customHeight="1">
      <c r="A63" s="92">
        <v>46</v>
      </c>
      <c r="B63" s="93" t="s">
        <v>245</v>
      </c>
      <c r="C63" s="94">
        <v>500000</v>
      </c>
      <c r="D63" s="95">
        <f t="shared" si="0"/>
        <v>500000</v>
      </c>
      <c r="E63" s="96"/>
    </row>
    <row r="64" spans="1:256" ht="15.75" customHeight="1">
      <c r="A64" s="92">
        <v>47</v>
      </c>
      <c r="B64" s="93" t="s">
        <v>246</v>
      </c>
      <c r="C64" s="94">
        <v>500000</v>
      </c>
      <c r="D64" s="95">
        <f t="shared" si="0"/>
        <v>500000</v>
      </c>
      <c r="E64" s="96"/>
    </row>
    <row r="65" spans="1:256" ht="15.75" customHeight="1">
      <c r="A65" s="92">
        <v>48</v>
      </c>
      <c r="B65" s="93" t="s">
        <v>247</v>
      </c>
      <c r="C65" s="94">
        <v>500000</v>
      </c>
      <c r="D65" s="95">
        <f t="shared" si="0"/>
        <v>500000</v>
      </c>
      <c r="E65" s="96"/>
    </row>
    <row r="66" spans="1:256" ht="15.75" customHeight="1">
      <c r="A66" s="92">
        <v>49</v>
      </c>
      <c r="B66" s="93" t="s">
        <v>248</v>
      </c>
      <c r="C66" s="94">
        <v>500000</v>
      </c>
      <c r="D66" s="95">
        <f t="shared" si="0"/>
        <v>500000</v>
      </c>
      <c r="E66" s="101"/>
    </row>
    <row r="67" spans="1:256" s="91" customFormat="1" ht="15.75" customHeight="1">
      <c r="A67" s="88" t="s">
        <v>249</v>
      </c>
      <c r="B67" s="88" t="s">
        <v>250</v>
      </c>
      <c r="C67" s="98">
        <f>SUM(C68:C73)</f>
        <v>3000000</v>
      </c>
      <c r="D67" s="102">
        <f t="shared" si="0"/>
        <v>3000000</v>
      </c>
      <c r="E67" s="88"/>
    </row>
    <row r="68" spans="1:256" ht="15.75" customHeight="1">
      <c r="A68" s="92">
        <v>50</v>
      </c>
      <c r="B68" s="93" t="s">
        <v>251</v>
      </c>
      <c r="C68" s="94">
        <v>500000</v>
      </c>
      <c r="D68" s="95">
        <f t="shared" si="0"/>
        <v>500000</v>
      </c>
      <c r="E68" s="96"/>
    </row>
    <row r="69" spans="1:256" ht="15.75" customHeight="1">
      <c r="A69" s="92">
        <v>51</v>
      </c>
      <c r="B69" s="93" t="s">
        <v>252</v>
      </c>
      <c r="C69" s="94">
        <v>500000</v>
      </c>
      <c r="D69" s="95">
        <f t="shared" si="0"/>
        <v>500000</v>
      </c>
      <c r="E69" s="96"/>
    </row>
    <row r="70" spans="1:256" ht="15.75" customHeight="1">
      <c r="A70" s="92">
        <v>52</v>
      </c>
      <c r="B70" s="93" t="s">
        <v>253</v>
      </c>
      <c r="C70" s="94">
        <v>500000</v>
      </c>
      <c r="D70" s="95">
        <f t="shared" si="0"/>
        <v>500000</v>
      </c>
      <c r="E70" s="96"/>
    </row>
    <row r="71" spans="1:256" ht="15.75" customHeight="1">
      <c r="A71" s="92">
        <v>53</v>
      </c>
      <c r="B71" s="93" t="s">
        <v>254</v>
      </c>
      <c r="C71" s="94">
        <v>500000</v>
      </c>
      <c r="D71" s="95">
        <f t="shared" si="0"/>
        <v>500000</v>
      </c>
      <c r="E71" s="96"/>
    </row>
    <row r="72" spans="1:256" ht="15.75" customHeight="1">
      <c r="A72" s="92">
        <v>54</v>
      </c>
      <c r="B72" s="93" t="s">
        <v>255</v>
      </c>
      <c r="C72" s="94">
        <v>500000</v>
      </c>
      <c r="D72" s="95">
        <f t="shared" si="0"/>
        <v>500000</v>
      </c>
      <c r="E72" s="96"/>
    </row>
    <row r="73" spans="1:256" ht="15.75" customHeight="1">
      <c r="A73" s="92">
        <v>55</v>
      </c>
      <c r="B73" s="93" t="s">
        <v>256</v>
      </c>
      <c r="C73" s="94">
        <v>500000</v>
      </c>
      <c r="D73" s="95">
        <f t="shared" si="0"/>
        <v>500000</v>
      </c>
      <c r="E73" s="96"/>
    </row>
    <row r="74" spans="1:256" s="91" customFormat="1" ht="15.75" customHeight="1">
      <c r="A74" s="88" t="s">
        <v>257</v>
      </c>
      <c r="B74" s="88" t="s">
        <v>258</v>
      </c>
      <c r="C74" s="98">
        <f>SUM(C75:C79)</f>
        <v>2500000</v>
      </c>
      <c r="D74" s="102">
        <f t="shared" si="0"/>
        <v>2500000</v>
      </c>
      <c r="E74" s="88"/>
    </row>
    <row r="75" spans="1:256" ht="15.75" customHeight="1">
      <c r="A75" s="92">
        <v>56</v>
      </c>
      <c r="B75" s="93" t="s">
        <v>259</v>
      </c>
      <c r="C75" s="94">
        <v>500000</v>
      </c>
      <c r="D75" s="95">
        <f t="shared" ref="D75:D86" si="1">C75</f>
        <v>500000</v>
      </c>
      <c r="E75" s="96"/>
    </row>
    <row r="76" spans="1:256" ht="15.75" customHeight="1">
      <c r="A76" s="92">
        <v>57</v>
      </c>
      <c r="B76" s="93" t="s">
        <v>260</v>
      </c>
      <c r="C76" s="94">
        <v>500000</v>
      </c>
      <c r="D76" s="95">
        <f t="shared" si="1"/>
        <v>500000</v>
      </c>
      <c r="E76" s="96"/>
    </row>
    <row r="77" spans="1:256" ht="15.75" customHeight="1">
      <c r="A77" s="92">
        <v>58</v>
      </c>
      <c r="B77" s="93" t="s">
        <v>261</v>
      </c>
      <c r="C77" s="94">
        <v>500000</v>
      </c>
      <c r="D77" s="95">
        <f t="shared" si="1"/>
        <v>500000</v>
      </c>
      <c r="E77" s="96"/>
    </row>
    <row r="78" spans="1:256" ht="15.75" customHeight="1">
      <c r="A78" s="92">
        <v>59</v>
      </c>
      <c r="B78" s="93" t="s">
        <v>262</v>
      </c>
      <c r="C78" s="94">
        <v>500000</v>
      </c>
      <c r="D78" s="95">
        <f t="shared" si="1"/>
        <v>500000</v>
      </c>
      <c r="E78" s="96"/>
    </row>
    <row r="79" spans="1:256" ht="15.75" customHeight="1">
      <c r="A79" s="92">
        <v>60</v>
      </c>
      <c r="B79" s="93" t="s">
        <v>263</v>
      </c>
      <c r="C79" s="94">
        <v>500000</v>
      </c>
      <c r="D79" s="95">
        <f t="shared" si="1"/>
        <v>500000</v>
      </c>
      <c r="E79" s="96"/>
    </row>
    <row r="80" spans="1:256" s="91" customFormat="1" ht="15.75" customHeight="1">
      <c r="A80" s="88" t="s">
        <v>264</v>
      </c>
      <c r="B80" s="88" t="s">
        <v>265</v>
      </c>
      <c r="C80" s="98">
        <f>SUM(C81:C86)</f>
        <v>3000000</v>
      </c>
      <c r="D80" s="102">
        <f t="shared" si="1"/>
        <v>3000000</v>
      </c>
      <c r="E80" s="88"/>
      <c r="IV80" s="103">
        <f>SUM(D80:IU80)</f>
        <v>3000000</v>
      </c>
    </row>
    <row r="81" spans="1:43" ht="15.75" customHeight="1">
      <c r="A81" s="92">
        <v>61</v>
      </c>
      <c r="B81" s="93" t="s">
        <v>266</v>
      </c>
      <c r="C81" s="94">
        <v>500000</v>
      </c>
      <c r="D81" s="95">
        <f t="shared" si="1"/>
        <v>500000</v>
      </c>
      <c r="E81" s="101"/>
    </row>
    <row r="82" spans="1:43" ht="15.75" customHeight="1">
      <c r="A82" s="92">
        <v>62</v>
      </c>
      <c r="B82" s="93" t="s">
        <v>267</v>
      </c>
      <c r="C82" s="94">
        <v>500000</v>
      </c>
      <c r="D82" s="95">
        <f t="shared" si="1"/>
        <v>500000</v>
      </c>
      <c r="E82" s="96"/>
    </row>
    <row r="83" spans="1:43" ht="15.75" customHeight="1">
      <c r="A83" s="92">
        <v>63</v>
      </c>
      <c r="B83" s="93" t="s">
        <v>268</v>
      </c>
      <c r="C83" s="94">
        <v>500000</v>
      </c>
      <c r="D83" s="95">
        <f t="shared" si="1"/>
        <v>500000</v>
      </c>
      <c r="E83" s="96"/>
    </row>
    <row r="84" spans="1:43" ht="15.75" customHeight="1">
      <c r="A84" s="92">
        <v>64</v>
      </c>
      <c r="B84" s="93" t="s">
        <v>269</v>
      </c>
      <c r="C84" s="94">
        <v>500000</v>
      </c>
      <c r="D84" s="95">
        <f t="shared" si="1"/>
        <v>500000</v>
      </c>
      <c r="E84" s="96"/>
    </row>
    <row r="85" spans="1:43" ht="15.75" customHeight="1">
      <c r="A85" s="92">
        <v>65</v>
      </c>
      <c r="B85" s="93" t="s">
        <v>187</v>
      </c>
      <c r="C85" s="94">
        <v>500000</v>
      </c>
      <c r="D85" s="95">
        <f t="shared" si="1"/>
        <v>500000</v>
      </c>
      <c r="E85" s="96"/>
    </row>
    <row r="86" spans="1:43" ht="15.75" customHeight="1">
      <c r="A86" s="92">
        <v>66</v>
      </c>
      <c r="B86" s="93" t="s">
        <v>270</v>
      </c>
      <c r="C86" s="94">
        <v>500000</v>
      </c>
      <c r="D86" s="95">
        <f t="shared" si="1"/>
        <v>500000</v>
      </c>
      <c r="E86" s="96"/>
    </row>
    <row r="87" spans="1:43" ht="15.75" customHeight="1">
      <c r="A87" s="207" t="s">
        <v>271</v>
      </c>
      <c r="B87" s="207"/>
      <c r="C87" s="95">
        <f>SUM(C9:C86)/2</f>
        <v>32500000</v>
      </c>
      <c r="D87" s="95">
        <f>C87</f>
        <v>32500000</v>
      </c>
      <c r="E87" s="106"/>
    </row>
    <row r="88" spans="1:43" ht="15.75">
      <c r="A88" s="107" t="s">
        <v>272</v>
      </c>
      <c r="B88" s="108"/>
      <c r="C88" s="109"/>
      <c r="D88" s="110"/>
      <c r="E88" s="110"/>
    </row>
    <row r="89" spans="1:43" ht="15" customHeight="1">
      <c r="A89" s="111"/>
      <c r="E89" s="112" t="s">
        <v>273</v>
      </c>
    </row>
    <row r="90" spans="1:43" s="114" customFormat="1" ht="15.75">
      <c r="A90" s="113" t="s">
        <v>274</v>
      </c>
      <c r="C90" s="115" t="s">
        <v>275</v>
      </c>
      <c r="E90" s="116" t="s">
        <v>276</v>
      </c>
    </row>
    <row r="91" spans="1:43" s="119" customFormat="1" ht="15" customHeight="1">
      <c r="A91" s="117"/>
      <c r="B91" s="118"/>
      <c r="E91" s="120"/>
    </row>
    <row r="92" spans="1:43" s="119" customFormat="1" ht="15" customHeight="1">
      <c r="A92" s="117"/>
      <c r="B92" s="118"/>
      <c r="E92" s="120"/>
    </row>
    <row r="93" spans="1:43" s="122" customFormat="1" ht="15" customHeight="1">
      <c r="A93" s="117"/>
      <c r="B93" s="121"/>
      <c r="E93" s="123"/>
    </row>
    <row r="94" spans="1:43" s="122" customFormat="1" ht="15" customHeight="1">
      <c r="A94" s="117"/>
      <c r="B94" s="124"/>
      <c r="E94" s="123"/>
    </row>
    <row r="95" spans="1:43" s="125" customFormat="1" ht="15">
      <c r="A95" s="117"/>
      <c r="B95" s="124"/>
      <c r="E95" s="126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</row>
    <row r="96" spans="1:43" s="130" customFormat="1" ht="14.25">
      <c r="A96" s="128" t="s">
        <v>277</v>
      </c>
      <c r="B96" s="129"/>
      <c r="C96" s="125" t="s">
        <v>278</v>
      </c>
      <c r="E96" s="131" t="s">
        <v>279</v>
      </c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2"/>
      <c r="AG96" s="132"/>
      <c r="AH96" s="132"/>
      <c r="AI96" s="132"/>
      <c r="AJ96" s="132"/>
      <c r="AK96" s="132"/>
      <c r="AL96" s="132"/>
      <c r="AM96" s="132"/>
      <c r="AN96" s="132"/>
      <c r="AO96" s="132"/>
      <c r="AP96" s="132"/>
      <c r="AQ96" s="132"/>
    </row>
    <row r="97" spans="1:43" s="130" customFormat="1" ht="14.25">
      <c r="A97" s="133"/>
      <c r="B97" s="125"/>
      <c r="C97" s="134"/>
      <c r="D97" s="135"/>
      <c r="E97" s="135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  <c r="AO97" s="132"/>
      <c r="AP97" s="132"/>
      <c r="AQ97" s="132"/>
    </row>
    <row r="98" spans="1:43" s="130" customFormat="1" ht="14.25">
      <c r="A98" s="133"/>
      <c r="B98" s="125"/>
      <c r="C98" s="134"/>
      <c r="D98" s="135"/>
      <c r="E98" s="135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2"/>
      <c r="AQ98" s="132"/>
    </row>
    <row r="99" spans="1:43" s="130" customFormat="1" ht="14.25">
      <c r="A99" s="133"/>
      <c r="B99" s="125"/>
      <c r="C99" s="136"/>
      <c r="D99" s="136"/>
      <c r="E99" s="135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132"/>
      <c r="AK99" s="132"/>
      <c r="AL99" s="132"/>
      <c r="AM99" s="132"/>
      <c r="AN99" s="132"/>
      <c r="AO99" s="132"/>
      <c r="AP99" s="132"/>
      <c r="AQ99" s="132"/>
    </row>
    <row r="100" spans="1:43" s="130" customFormat="1" ht="14.25">
      <c r="A100" s="133"/>
      <c r="B100" s="125"/>
      <c r="C100" s="134"/>
      <c r="D100" s="135"/>
      <c r="E100" s="135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  <c r="AF100" s="132"/>
      <c r="AG100" s="132"/>
      <c r="AH100" s="132"/>
      <c r="AI100" s="132"/>
      <c r="AJ100" s="132"/>
      <c r="AK100" s="132"/>
      <c r="AL100" s="132"/>
      <c r="AM100" s="132"/>
      <c r="AN100" s="132"/>
      <c r="AO100" s="132"/>
      <c r="AP100" s="132"/>
      <c r="AQ100" s="132"/>
    </row>
    <row r="101" spans="1:43" s="130" customFormat="1" ht="14.25">
      <c r="A101" s="133"/>
      <c r="B101" s="125"/>
      <c r="C101" s="134"/>
      <c r="D101" s="135"/>
      <c r="E101" s="135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32"/>
      <c r="AH101" s="132"/>
      <c r="AI101" s="132"/>
      <c r="AJ101" s="132"/>
      <c r="AK101" s="132"/>
      <c r="AL101" s="132"/>
      <c r="AM101" s="132"/>
      <c r="AN101" s="132"/>
      <c r="AO101" s="132"/>
      <c r="AP101" s="132"/>
      <c r="AQ101" s="132"/>
    </row>
    <row r="102" spans="1:43" s="130" customFormat="1" ht="14.25">
      <c r="A102" s="133"/>
      <c r="B102" s="125"/>
      <c r="C102" s="134"/>
      <c r="D102" s="135"/>
      <c r="E102" s="135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  <c r="AD102" s="132"/>
      <c r="AE102" s="132"/>
      <c r="AF102" s="132"/>
      <c r="AG102" s="132"/>
      <c r="AH102" s="132"/>
      <c r="AI102" s="132"/>
      <c r="AJ102" s="132"/>
      <c r="AK102" s="132"/>
      <c r="AL102" s="132"/>
      <c r="AM102" s="132"/>
      <c r="AN102" s="132"/>
      <c r="AO102" s="132"/>
      <c r="AP102" s="132"/>
      <c r="AQ102" s="132"/>
    </row>
    <row r="103" spans="1:43" s="130" customFormat="1" ht="14.25">
      <c r="A103" s="133"/>
      <c r="B103" s="125"/>
      <c r="C103" s="134"/>
      <c r="D103" s="135"/>
      <c r="E103" s="135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</row>
    <row r="104" spans="1:43" s="114" customFormat="1" ht="15.75">
      <c r="A104" s="108"/>
      <c r="B104" s="108"/>
    </row>
  </sheetData>
  <mergeCells count="8">
    <mergeCell ref="A87:B87"/>
    <mergeCell ref="A4:E4"/>
    <mergeCell ref="A5:E5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2"/>
  <sheetViews>
    <sheetView topLeftCell="A73" workbookViewId="0">
      <selection activeCell="D80" sqref="D80"/>
    </sheetView>
  </sheetViews>
  <sheetFormatPr defaultColWidth="8.25" defaultRowHeight="12.75"/>
  <cols>
    <col min="1" max="1" width="6.625" style="168" customWidth="1"/>
    <col min="2" max="2" width="22" style="168" customWidth="1"/>
    <col min="3" max="4" width="15.75" style="152" customWidth="1"/>
    <col min="5" max="5" width="19" style="161" customWidth="1"/>
    <col min="6" max="256" width="8.25" style="152"/>
    <col min="257" max="257" width="6.625" style="152" customWidth="1"/>
    <col min="258" max="258" width="22" style="152" customWidth="1"/>
    <col min="259" max="260" width="15.75" style="152" customWidth="1"/>
    <col min="261" max="261" width="19" style="152" customWidth="1"/>
    <col min="262" max="512" width="8.25" style="152"/>
    <col min="513" max="513" width="6.625" style="152" customWidth="1"/>
    <col min="514" max="514" width="22" style="152" customWidth="1"/>
    <col min="515" max="516" width="15.75" style="152" customWidth="1"/>
    <col min="517" max="517" width="19" style="152" customWidth="1"/>
    <col min="518" max="768" width="8.25" style="152"/>
    <col min="769" max="769" width="6.625" style="152" customWidth="1"/>
    <col min="770" max="770" width="22" style="152" customWidth="1"/>
    <col min="771" max="772" width="15.75" style="152" customWidth="1"/>
    <col min="773" max="773" width="19" style="152" customWidth="1"/>
    <col min="774" max="1024" width="8.25" style="152"/>
    <col min="1025" max="1025" width="6.625" style="152" customWidth="1"/>
    <col min="1026" max="1026" width="22" style="152" customWidth="1"/>
    <col min="1027" max="1028" width="15.75" style="152" customWidth="1"/>
    <col min="1029" max="1029" width="19" style="152" customWidth="1"/>
    <col min="1030" max="1280" width="8.25" style="152"/>
    <col min="1281" max="1281" width="6.625" style="152" customWidth="1"/>
    <col min="1282" max="1282" width="22" style="152" customWidth="1"/>
    <col min="1283" max="1284" width="15.75" style="152" customWidth="1"/>
    <col min="1285" max="1285" width="19" style="152" customWidth="1"/>
    <col min="1286" max="1536" width="8.25" style="152"/>
    <col min="1537" max="1537" width="6.625" style="152" customWidth="1"/>
    <col min="1538" max="1538" width="22" style="152" customWidth="1"/>
    <col min="1539" max="1540" width="15.75" style="152" customWidth="1"/>
    <col min="1541" max="1541" width="19" style="152" customWidth="1"/>
    <col min="1542" max="1792" width="8.25" style="152"/>
    <col min="1793" max="1793" width="6.625" style="152" customWidth="1"/>
    <col min="1794" max="1794" width="22" style="152" customWidth="1"/>
    <col min="1795" max="1796" width="15.75" style="152" customWidth="1"/>
    <col min="1797" max="1797" width="19" style="152" customWidth="1"/>
    <col min="1798" max="2048" width="8.25" style="152"/>
    <col min="2049" max="2049" width="6.625" style="152" customWidth="1"/>
    <col min="2050" max="2050" width="22" style="152" customWidth="1"/>
    <col min="2051" max="2052" width="15.75" style="152" customWidth="1"/>
    <col min="2053" max="2053" width="19" style="152" customWidth="1"/>
    <col min="2054" max="2304" width="8.25" style="152"/>
    <col min="2305" max="2305" width="6.625" style="152" customWidth="1"/>
    <col min="2306" max="2306" width="22" style="152" customWidth="1"/>
    <col min="2307" max="2308" width="15.75" style="152" customWidth="1"/>
    <col min="2309" max="2309" width="19" style="152" customWidth="1"/>
    <col min="2310" max="2560" width="8.25" style="152"/>
    <col min="2561" max="2561" width="6.625" style="152" customWidth="1"/>
    <col min="2562" max="2562" width="22" style="152" customWidth="1"/>
    <col min="2563" max="2564" width="15.75" style="152" customWidth="1"/>
    <col min="2565" max="2565" width="19" style="152" customWidth="1"/>
    <col min="2566" max="2816" width="8.25" style="152"/>
    <col min="2817" max="2817" width="6.625" style="152" customWidth="1"/>
    <col min="2818" max="2818" width="22" style="152" customWidth="1"/>
    <col min="2819" max="2820" width="15.75" style="152" customWidth="1"/>
    <col min="2821" max="2821" width="19" style="152" customWidth="1"/>
    <col min="2822" max="3072" width="8.25" style="152"/>
    <col min="3073" max="3073" width="6.625" style="152" customWidth="1"/>
    <col min="3074" max="3074" width="22" style="152" customWidth="1"/>
    <col min="3075" max="3076" width="15.75" style="152" customWidth="1"/>
    <col min="3077" max="3077" width="19" style="152" customWidth="1"/>
    <col min="3078" max="3328" width="8.25" style="152"/>
    <col min="3329" max="3329" width="6.625" style="152" customWidth="1"/>
    <col min="3330" max="3330" width="22" style="152" customWidth="1"/>
    <col min="3331" max="3332" width="15.75" style="152" customWidth="1"/>
    <col min="3333" max="3333" width="19" style="152" customWidth="1"/>
    <col min="3334" max="3584" width="8.25" style="152"/>
    <col min="3585" max="3585" width="6.625" style="152" customWidth="1"/>
    <col min="3586" max="3586" width="22" style="152" customWidth="1"/>
    <col min="3587" max="3588" width="15.75" style="152" customWidth="1"/>
    <col min="3589" max="3589" width="19" style="152" customWidth="1"/>
    <col min="3590" max="3840" width="8.25" style="152"/>
    <col min="3841" max="3841" width="6.625" style="152" customWidth="1"/>
    <col min="3842" max="3842" width="22" style="152" customWidth="1"/>
    <col min="3843" max="3844" width="15.75" style="152" customWidth="1"/>
    <col min="3845" max="3845" width="19" style="152" customWidth="1"/>
    <col min="3846" max="4096" width="8.25" style="152"/>
    <col min="4097" max="4097" width="6.625" style="152" customWidth="1"/>
    <col min="4098" max="4098" width="22" style="152" customWidth="1"/>
    <col min="4099" max="4100" width="15.75" style="152" customWidth="1"/>
    <col min="4101" max="4101" width="19" style="152" customWidth="1"/>
    <col min="4102" max="4352" width="8.25" style="152"/>
    <col min="4353" max="4353" width="6.625" style="152" customWidth="1"/>
    <col min="4354" max="4354" width="22" style="152" customWidth="1"/>
    <col min="4355" max="4356" width="15.75" style="152" customWidth="1"/>
    <col min="4357" max="4357" width="19" style="152" customWidth="1"/>
    <col min="4358" max="4608" width="8.25" style="152"/>
    <col min="4609" max="4609" width="6.625" style="152" customWidth="1"/>
    <col min="4610" max="4610" width="22" style="152" customWidth="1"/>
    <col min="4611" max="4612" width="15.75" style="152" customWidth="1"/>
    <col min="4613" max="4613" width="19" style="152" customWidth="1"/>
    <col min="4614" max="4864" width="8.25" style="152"/>
    <col min="4865" max="4865" width="6.625" style="152" customWidth="1"/>
    <col min="4866" max="4866" width="22" style="152" customWidth="1"/>
    <col min="4867" max="4868" width="15.75" style="152" customWidth="1"/>
    <col min="4869" max="4869" width="19" style="152" customWidth="1"/>
    <col min="4870" max="5120" width="8.25" style="152"/>
    <col min="5121" max="5121" width="6.625" style="152" customWidth="1"/>
    <col min="5122" max="5122" width="22" style="152" customWidth="1"/>
    <col min="5123" max="5124" width="15.75" style="152" customWidth="1"/>
    <col min="5125" max="5125" width="19" style="152" customWidth="1"/>
    <col min="5126" max="5376" width="8.25" style="152"/>
    <col min="5377" max="5377" width="6.625" style="152" customWidth="1"/>
    <col min="5378" max="5378" width="22" style="152" customWidth="1"/>
    <col min="5379" max="5380" width="15.75" style="152" customWidth="1"/>
    <col min="5381" max="5381" width="19" style="152" customWidth="1"/>
    <col min="5382" max="5632" width="8.25" style="152"/>
    <col min="5633" max="5633" width="6.625" style="152" customWidth="1"/>
    <col min="5634" max="5634" width="22" style="152" customWidth="1"/>
    <col min="5635" max="5636" width="15.75" style="152" customWidth="1"/>
    <col min="5637" max="5637" width="19" style="152" customWidth="1"/>
    <col min="5638" max="5888" width="8.25" style="152"/>
    <col min="5889" max="5889" width="6.625" style="152" customWidth="1"/>
    <col min="5890" max="5890" width="22" style="152" customWidth="1"/>
    <col min="5891" max="5892" width="15.75" style="152" customWidth="1"/>
    <col min="5893" max="5893" width="19" style="152" customWidth="1"/>
    <col min="5894" max="6144" width="8.25" style="152"/>
    <col min="6145" max="6145" width="6.625" style="152" customWidth="1"/>
    <col min="6146" max="6146" width="22" style="152" customWidth="1"/>
    <col min="6147" max="6148" width="15.75" style="152" customWidth="1"/>
    <col min="6149" max="6149" width="19" style="152" customWidth="1"/>
    <col min="6150" max="6400" width="8.25" style="152"/>
    <col min="6401" max="6401" width="6.625" style="152" customWidth="1"/>
    <col min="6402" max="6402" width="22" style="152" customWidth="1"/>
    <col min="6403" max="6404" width="15.75" style="152" customWidth="1"/>
    <col min="6405" max="6405" width="19" style="152" customWidth="1"/>
    <col min="6406" max="6656" width="8.25" style="152"/>
    <col min="6657" max="6657" width="6.625" style="152" customWidth="1"/>
    <col min="6658" max="6658" width="22" style="152" customWidth="1"/>
    <col min="6659" max="6660" width="15.75" style="152" customWidth="1"/>
    <col min="6661" max="6661" width="19" style="152" customWidth="1"/>
    <col min="6662" max="6912" width="8.25" style="152"/>
    <col min="6913" max="6913" width="6.625" style="152" customWidth="1"/>
    <col min="6914" max="6914" width="22" style="152" customWidth="1"/>
    <col min="6915" max="6916" width="15.75" style="152" customWidth="1"/>
    <col min="6917" max="6917" width="19" style="152" customWidth="1"/>
    <col min="6918" max="7168" width="8.25" style="152"/>
    <col min="7169" max="7169" width="6.625" style="152" customWidth="1"/>
    <col min="7170" max="7170" width="22" style="152" customWidth="1"/>
    <col min="7171" max="7172" width="15.75" style="152" customWidth="1"/>
    <col min="7173" max="7173" width="19" style="152" customWidth="1"/>
    <col min="7174" max="7424" width="8.25" style="152"/>
    <col min="7425" max="7425" width="6.625" style="152" customWidth="1"/>
    <col min="7426" max="7426" width="22" style="152" customWidth="1"/>
    <col min="7427" max="7428" width="15.75" style="152" customWidth="1"/>
    <col min="7429" max="7429" width="19" style="152" customWidth="1"/>
    <col min="7430" max="7680" width="8.25" style="152"/>
    <col min="7681" max="7681" width="6.625" style="152" customWidth="1"/>
    <col min="7682" max="7682" width="22" style="152" customWidth="1"/>
    <col min="7683" max="7684" width="15.75" style="152" customWidth="1"/>
    <col min="7685" max="7685" width="19" style="152" customWidth="1"/>
    <col min="7686" max="7936" width="8.25" style="152"/>
    <col min="7937" max="7937" width="6.625" style="152" customWidth="1"/>
    <col min="7938" max="7938" width="22" style="152" customWidth="1"/>
    <col min="7939" max="7940" width="15.75" style="152" customWidth="1"/>
    <col min="7941" max="7941" width="19" style="152" customWidth="1"/>
    <col min="7942" max="8192" width="8.25" style="152"/>
    <col min="8193" max="8193" width="6.625" style="152" customWidth="1"/>
    <col min="8194" max="8194" width="22" style="152" customWidth="1"/>
    <col min="8195" max="8196" width="15.75" style="152" customWidth="1"/>
    <col min="8197" max="8197" width="19" style="152" customWidth="1"/>
    <col min="8198" max="8448" width="8.25" style="152"/>
    <col min="8449" max="8449" width="6.625" style="152" customWidth="1"/>
    <col min="8450" max="8450" width="22" style="152" customWidth="1"/>
    <col min="8451" max="8452" width="15.75" style="152" customWidth="1"/>
    <col min="8453" max="8453" width="19" style="152" customWidth="1"/>
    <col min="8454" max="8704" width="8.25" style="152"/>
    <col min="8705" max="8705" width="6.625" style="152" customWidth="1"/>
    <col min="8706" max="8706" width="22" style="152" customWidth="1"/>
    <col min="8707" max="8708" width="15.75" style="152" customWidth="1"/>
    <col min="8709" max="8709" width="19" style="152" customWidth="1"/>
    <col min="8710" max="8960" width="8.25" style="152"/>
    <col min="8961" max="8961" width="6.625" style="152" customWidth="1"/>
    <col min="8962" max="8962" width="22" style="152" customWidth="1"/>
    <col min="8963" max="8964" width="15.75" style="152" customWidth="1"/>
    <col min="8965" max="8965" width="19" style="152" customWidth="1"/>
    <col min="8966" max="9216" width="8.25" style="152"/>
    <col min="9217" max="9217" width="6.625" style="152" customWidth="1"/>
    <col min="9218" max="9218" width="22" style="152" customWidth="1"/>
    <col min="9219" max="9220" width="15.75" style="152" customWidth="1"/>
    <col min="9221" max="9221" width="19" style="152" customWidth="1"/>
    <col min="9222" max="9472" width="8.25" style="152"/>
    <col min="9473" max="9473" width="6.625" style="152" customWidth="1"/>
    <col min="9474" max="9474" width="22" style="152" customWidth="1"/>
    <col min="9475" max="9476" width="15.75" style="152" customWidth="1"/>
    <col min="9477" max="9477" width="19" style="152" customWidth="1"/>
    <col min="9478" max="9728" width="8.25" style="152"/>
    <col min="9729" max="9729" width="6.625" style="152" customWidth="1"/>
    <col min="9730" max="9730" width="22" style="152" customWidth="1"/>
    <col min="9731" max="9732" width="15.75" style="152" customWidth="1"/>
    <col min="9733" max="9733" width="19" style="152" customWidth="1"/>
    <col min="9734" max="9984" width="8.25" style="152"/>
    <col min="9985" max="9985" width="6.625" style="152" customWidth="1"/>
    <col min="9986" max="9986" width="22" style="152" customWidth="1"/>
    <col min="9987" max="9988" width="15.75" style="152" customWidth="1"/>
    <col min="9989" max="9989" width="19" style="152" customWidth="1"/>
    <col min="9990" max="10240" width="8.25" style="152"/>
    <col min="10241" max="10241" width="6.625" style="152" customWidth="1"/>
    <col min="10242" max="10242" width="22" style="152" customWidth="1"/>
    <col min="10243" max="10244" width="15.75" style="152" customWidth="1"/>
    <col min="10245" max="10245" width="19" style="152" customWidth="1"/>
    <col min="10246" max="10496" width="8.25" style="152"/>
    <col min="10497" max="10497" width="6.625" style="152" customWidth="1"/>
    <col min="10498" max="10498" width="22" style="152" customWidth="1"/>
    <col min="10499" max="10500" width="15.75" style="152" customWidth="1"/>
    <col min="10501" max="10501" width="19" style="152" customWidth="1"/>
    <col min="10502" max="10752" width="8.25" style="152"/>
    <col min="10753" max="10753" width="6.625" style="152" customWidth="1"/>
    <col min="10754" max="10754" width="22" style="152" customWidth="1"/>
    <col min="10755" max="10756" width="15.75" style="152" customWidth="1"/>
    <col min="10757" max="10757" width="19" style="152" customWidth="1"/>
    <col min="10758" max="11008" width="8.25" style="152"/>
    <col min="11009" max="11009" width="6.625" style="152" customWidth="1"/>
    <col min="11010" max="11010" width="22" style="152" customWidth="1"/>
    <col min="11011" max="11012" width="15.75" style="152" customWidth="1"/>
    <col min="11013" max="11013" width="19" style="152" customWidth="1"/>
    <col min="11014" max="11264" width="8.25" style="152"/>
    <col min="11265" max="11265" width="6.625" style="152" customWidth="1"/>
    <col min="11266" max="11266" width="22" style="152" customWidth="1"/>
    <col min="11267" max="11268" width="15.75" style="152" customWidth="1"/>
    <col min="11269" max="11269" width="19" style="152" customWidth="1"/>
    <col min="11270" max="11520" width="8.25" style="152"/>
    <col min="11521" max="11521" width="6.625" style="152" customWidth="1"/>
    <col min="11522" max="11522" width="22" style="152" customWidth="1"/>
    <col min="11523" max="11524" width="15.75" style="152" customWidth="1"/>
    <col min="11525" max="11525" width="19" style="152" customWidth="1"/>
    <col min="11526" max="11776" width="8.25" style="152"/>
    <col min="11777" max="11777" width="6.625" style="152" customWidth="1"/>
    <col min="11778" max="11778" width="22" style="152" customWidth="1"/>
    <col min="11779" max="11780" width="15.75" style="152" customWidth="1"/>
    <col min="11781" max="11781" width="19" style="152" customWidth="1"/>
    <col min="11782" max="12032" width="8.25" style="152"/>
    <col min="12033" max="12033" width="6.625" style="152" customWidth="1"/>
    <col min="12034" max="12034" width="22" style="152" customWidth="1"/>
    <col min="12035" max="12036" width="15.75" style="152" customWidth="1"/>
    <col min="12037" max="12037" width="19" style="152" customWidth="1"/>
    <col min="12038" max="12288" width="8.25" style="152"/>
    <col min="12289" max="12289" width="6.625" style="152" customWidth="1"/>
    <col min="12290" max="12290" width="22" style="152" customWidth="1"/>
    <col min="12291" max="12292" width="15.75" style="152" customWidth="1"/>
    <col min="12293" max="12293" width="19" style="152" customWidth="1"/>
    <col min="12294" max="12544" width="8.25" style="152"/>
    <col min="12545" max="12545" width="6.625" style="152" customWidth="1"/>
    <col min="12546" max="12546" width="22" style="152" customWidth="1"/>
    <col min="12547" max="12548" width="15.75" style="152" customWidth="1"/>
    <col min="12549" max="12549" width="19" style="152" customWidth="1"/>
    <col min="12550" max="12800" width="8.25" style="152"/>
    <col min="12801" max="12801" width="6.625" style="152" customWidth="1"/>
    <col min="12802" max="12802" width="22" style="152" customWidth="1"/>
    <col min="12803" max="12804" width="15.75" style="152" customWidth="1"/>
    <col min="12805" max="12805" width="19" style="152" customWidth="1"/>
    <col min="12806" max="13056" width="8.25" style="152"/>
    <col min="13057" max="13057" width="6.625" style="152" customWidth="1"/>
    <col min="13058" max="13058" width="22" style="152" customWidth="1"/>
    <col min="13059" max="13060" width="15.75" style="152" customWidth="1"/>
    <col min="13061" max="13061" width="19" style="152" customWidth="1"/>
    <col min="13062" max="13312" width="8.25" style="152"/>
    <col min="13313" max="13313" width="6.625" style="152" customWidth="1"/>
    <col min="13314" max="13314" width="22" style="152" customWidth="1"/>
    <col min="13315" max="13316" width="15.75" style="152" customWidth="1"/>
    <col min="13317" max="13317" width="19" style="152" customWidth="1"/>
    <col min="13318" max="13568" width="8.25" style="152"/>
    <col min="13569" max="13569" width="6.625" style="152" customWidth="1"/>
    <col min="13570" max="13570" width="22" style="152" customWidth="1"/>
    <col min="13571" max="13572" width="15.75" style="152" customWidth="1"/>
    <col min="13573" max="13573" width="19" style="152" customWidth="1"/>
    <col min="13574" max="13824" width="8.25" style="152"/>
    <col min="13825" max="13825" width="6.625" style="152" customWidth="1"/>
    <col min="13826" max="13826" width="22" style="152" customWidth="1"/>
    <col min="13827" max="13828" width="15.75" style="152" customWidth="1"/>
    <col min="13829" max="13829" width="19" style="152" customWidth="1"/>
    <col min="13830" max="14080" width="8.25" style="152"/>
    <col min="14081" max="14081" width="6.625" style="152" customWidth="1"/>
    <col min="14082" max="14082" width="22" style="152" customWidth="1"/>
    <col min="14083" max="14084" width="15.75" style="152" customWidth="1"/>
    <col min="14085" max="14085" width="19" style="152" customWidth="1"/>
    <col min="14086" max="14336" width="8.25" style="152"/>
    <col min="14337" max="14337" width="6.625" style="152" customWidth="1"/>
    <col min="14338" max="14338" width="22" style="152" customWidth="1"/>
    <col min="14339" max="14340" width="15.75" style="152" customWidth="1"/>
    <col min="14341" max="14341" width="19" style="152" customWidth="1"/>
    <col min="14342" max="14592" width="8.25" style="152"/>
    <col min="14593" max="14593" width="6.625" style="152" customWidth="1"/>
    <col min="14594" max="14594" width="22" style="152" customWidth="1"/>
    <col min="14595" max="14596" width="15.75" style="152" customWidth="1"/>
    <col min="14597" max="14597" width="19" style="152" customWidth="1"/>
    <col min="14598" max="14848" width="8.25" style="152"/>
    <col min="14849" max="14849" width="6.625" style="152" customWidth="1"/>
    <col min="14850" max="14850" width="22" style="152" customWidth="1"/>
    <col min="14851" max="14852" width="15.75" style="152" customWidth="1"/>
    <col min="14853" max="14853" width="19" style="152" customWidth="1"/>
    <col min="14854" max="15104" width="8.25" style="152"/>
    <col min="15105" max="15105" width="6.625" style="152" customWidth="1"/>
    <col min="15106" max="15106" width="22" style="152" customWidth="1"/>
    <col min="15107" max="15108" width="15.75" style="152" customWidth="1"/>
    <col min="15109" max="15109" width="19" style="152" customWidth="1"/>
    <col min="15110" max="15360" width="8.25" style="152"/>
    <col min="15361" max="15361" width="6.625" style="152" customWidth="1"/>
    <col min="15362" max="15362" width="22" style="152" customWidth="1"/>
    <col min="15363" max="15364" width="15.75" style="152" customWidth="1"/>
    <col min="15365" max="15365" width="19" style="152" customWidth="1"/>
    <col min="15366" max="15616" width="8.25" style="152"/>
    <col min="15617" max="15617" width="6.625" style="152" customWidth="1"/>
    <col min="15618" max="15618" width="22" style="152" customWidth="1"/>
    <col min="15619" max="15620" width="15.75" style="152" customWidth="1"/>
    <col min="15621" max="15621" width="19" style="152" customWidth="1"/>
    <col min="15622" max="15872" width="8.25" style="152"/>
    <col min="15873" max="15873" width="6.625" style="152" customWidth="1"/>
    <col min="15874" max="15874" width="22" style="152" customWidth="1"/>
    <col min="15875" max="15876" width="15.75" style="152" customWidth="1"/>
    <col min="15877" max="15877" width="19" style="152" customWidth="1"/>
    <col min="15878" max="16128" width="8.25" style="152"/>
    <col min="16129" max="16129" width="6.625" style="152" customWidth="1"/>
    <col min="16130" max="16130" width="22" style="152" customWidth="1"/>
    <col min="16131" max="16132" width="15.75" style="152" customWidth="1"/>
    <col min="16133" max="16133" width="19" style="152" customWidth="1"/>
    <col min="16134" max="16384" width="8.25" style="152"/>
  </cols>
  <sheetData>
    <row r="1" spans="1:44" s="75" customFormat="1" ht="18.75" customHeight="1">
      <c r="A1" s="71" t="s">
        <v>175</v>
      </c>
      <c r="B1" s="72"/>
      <c r="C1" s="73"/>
      <c r="D1" s="73"/>
      <c r="E1" s="74"/>
      <c r="G1" s="76"/>
      <c r="H1" s="76"/>
      <c r="J1" s="72"/>
      <c r="K1" s="77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spans="1:44" s="75" customFormat="1" ht="15.75">
      <c r="A2" s="71" t="s">
        <v>176</v>
      </c>
      <c r="B2" s="72"/>
      <c r="C2" s="73"/>
      <c r="D2" s="73"/>
      <c r="E2" s="74"/>
      <c r="G2" s="76"/>
      <c r="H2" s="76"/>
      <c r="J2" s="79"/>
      <c r="K2" s="77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</row>
    <row r="3" spans="1:44" s="75" customFormat="1" ht="15.75">
      <c r="A3" s="71"/>
      <c r="B3" s="72"/>
      <c r="C3" s="73"/>
      <c r="D3" s="73"/>
      <c r="E3" s="74"/>
      <c r="G3" s="76"/>
      <c r="H3" s="76"/>
      <c r="J3" s="79"/>
      <c r="K3" s="77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</row>
    <row r="4" spans="1:44" s="75" customFormat="1" ht="18.75">
      <c r="A4" s="212" t="s">
        <v>280</v>
      </c>
      <c r="B4" s="212"/>
      <c r="C4" s="212"/>
      <c r="D4" s="212"/>
      <c r="E4" s="212"/>
      <c r="F4" s="138"/>
      <c r="G4" s="138"/>
      <c r="H4" s="138"/>
      <c r="I4" s="138"/>
      <c r="J4" s="138"/>
      <c r="K4" s="138"/>
      <c r="L4" s="138"/>
      <c r="M4" s="13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</row>
    <row r="5" spans="1:44" s="75" customFormat="1" ht="18.75">
      <c r="A5" s="212" t="s">
        <v>281</v>
      </c>
      <c r="B5" s="212"/>
      <c r="C5" s="212"/>
      <c r="D5" s="212"/>
      <c r="E5" s="212"/>
      <c r="F5" s="138"/>
      <c r="G5" s="138"/>
      <c r="H5" s="138"/>
      <c r="I5" s="138"/>
      <c r="J5" s="138"/>
      <c r="K5" s="138"/>
      <c r="L5" s="138"/>
      <c r="M5" s="13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</row>
    <row r="6" spans="1:44" s="83" customFormat="1" ht="15.75">
      <c r="A6" s="213" t="s">
        <v>282</v>
      </c>
      <c r="B6" s="213"/>
      <c r="C6" s="213"/>
      <c r="D6" s="213"/>
      <c r="E6" s="213"/>
      <c r="F6" s="139"/>
      <c r="G6" s="139"/>
      <c r="H6" s="139"/>
      <c r="I6" s="139"/>
      <c r="J6" s="139"/>
      <c r="K6" s="139"/>
      <c r="L6" s="139"/>
      <c r="M6" s="139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</row>
    <row r="7" spans="1:44" s="140" customFormat="1" ht="12" customHeight="1">
      <c r="A7" s="214" t="s">
        <v>179</v>
      </c>
      <c r="B7" s="214" t="s">
        <v>180</v>
      </c>
      <c r="C7" s="214" t="s">
        <v>283</v>
      </c>
      <c r="D7" s="214" t="s">
        <v>284</v>
      </c>
      <c r="E7" s="214" t="s">
        <v>34</v>
      </c>
    </row>
    <row r="8" spans="1:44" s="140" customFormat="1" ht="10.5" customHeight="1">
      <c r="A8" s="214"/>
      <c r="B8" s="214"/>
      <c r="C8" s="214"/>
      <c r="D8" s="214"/>
      <c r="E8" s="214"/>
    </row>
    <row r="9" spans="1:44" s="143" customFormat="1" ht="17.25" customHeight="1">
      <c r="A9" s="141" t="s">
        <v>183</v>
      </c>
      <c r="B9" s="141" t="s">
        <v>184</v>
      </c>
      <c r="C9" s="142"/>
      <c r="D9" s="142">
        <f>SUM(D10:D14)</f>
        <v>2200000</v>
      </c>
      <c r="E9" s="141"/>
    </row>
    <row r="10" spans="1:44" s="149" customFormat="1" ht="17.25" customHeight="1">
      <c r="A10" s="144">
        <v>1</v>
      </c>
      <c r="B10" s="145" t="s">
        <v>185</v>
      </c>
      <c r="C10" s="146">
        <v>500000</v>
      </c>
      <c r="D10" s="147">
        <v>200000</v>
      </c>
      <c r="E10" s="148" t="s">
        <v>285</v>
      </c>
    </row>
    <row r="11" spans="1:44" s="149" customFormat="1" ht="17.25" customHeight="1">
      <c r="A11" s="144">
        <v>2</v>
      </c>
      <c r="B11" s="145" t="s">
        <v>186</v>
      </c>
      <c r="C11" s="146">
        <v>500000</v>
      </c>
      <c r="D11" s="147">
        <f t="shared" ref="D11:D73" si="0">C11</f>
        <v>500000</v>
      </c>
      <c r="E11" s="148"/>
    </row>
    <row r="12" spans="1:44" s="149" customFormat="1" ht="17.25" customHeight="1">
      <c r="A12" s="144">
        <v>3</v>
      </c>
      <c r="B12" s="145" t="s">
        <v>187</v>
      </c>
      <c r="C12" s="146">
        <v>500000</v>
      </c>
      <c r="D12" s="147">
        <f t="shared" si="0"/>
        <v>500000</v>
      </c>
      <c r="E12" s="148"/>
    </row>
    <row r="13" spans="1:44" s="149" customFormat="1" ht="17.25" customHeight="1">
      <c r="A13" s="144">
        <v>4</v>
      </c>
      <c r="B13" s="145" t="s">
        <v>188</v>
      </c>
      <c r="C13" s="146">
        <v>500000</v>
      </c>
      <c r="D13" s="147">
        <f t="shared" si="0"/>
        <v>500000</v>
      </c>
      <c r="E13" s="148"/>
    </row>
    <row r="14" spans="1:44" s="149" customFormat="1" ht="17.25" customHeight="1">
      <c r="A14" s="144">
        <v>5</v>
      </c>
      <c r="B14" s="145" t="s">
        <v>189</v>
      </c>
      <c r="C14" s="146">
        <v>500000</v>
      </c>
      <c r="D14" s="147">
        <f t="shared" si="0"/>
        <v>500000</v>
      </c>
      <c r="E14" s="148"/>
    </row>
    <row r="15" spans="1:44" s="143" customFormat="1" ht="17.25" customHeight="1">
      <c r="A15" s="141" t="s">
        <v>190</v>
      </c>
      <c r="B15" s="141" t="s">
        <v>191</v>
      </c>
      <c r="C15" s="150"/>
      <c r="D15" s="150">
        <f>SUM(D16:D21)</f>
        <v>3000000</v>
      </c>
      <c r="E15" s="141"/>
    </row>
    <row r="16" spans="1:44" s="149" customFormat="1" ht="17.25" customHeight="1">
      <c r="A16" s="144">
        <v>6</v>
      </c>
      <c r="B16" s="145" t="s">
        <v>192</v>
      </c>
      <c r="C16" s="146">
        <v>500000</v>
      </c>
      <c r="D16" s="147">
        <f t="shared" si="0"/>
        <v>500000</v>
      </c>
      <c r="E16" s="148"/>
    </row>
    <row r="17" spans="1:5" s="149" customFormat="1" ht="17.25" customHeight="1">
      <c r="A17" s="144">
        <v>7</v>
      </c>
      <c r="B17" s="145" t="s">
        <v>193</v>
      </c>
      <c r="C17" s="146">
        <v>500000</v>
      </c>
      <c r="D17" s="147">
        <f t="shared" si="0"/>
        <v>500000</v>
      </c>
      <c r="E17" s="148"/>
    </row>
    <row r="18" spans="1:5" s="149" customFormat="1" ht="17.25" customHeight="1">
      <c r="A18" s="144">
        <v>8</v>
      </c>
      <c r="B18" s="145" t="s">
        <v>194</v>
      </c>
      <c r="C18" s="146">
        <v>500000</v>
      </c>
      <c r="D18" s="147">
        <f t="shared" si="0"/>
        <v>500000</v>
      </c>
      <c r="E18" s="148"/>
    </row>
    <row r="19" spans="1:5" s="149" customFormat="1" ht="17.25" customHeight="1">
      <c r="A19" s="144">
        <v>9</v>
      </c>
      <c r="B19" s="151" t="s">
        <v>195</v>
      </c>
      <c r="C19" s="146">
        <v>500000</v>
      </c>
      <c r="D19" s="147">
        <f t="shared" si="0"/>
        <v>500000</v>
      </c>
      <c r="E19" s="148"/>
    </row>
    <row r="20" spans="1:5" s="149" customFormat="1" ht="17.25" customHeight="1">
      <c r="A20" s="144">
        <v>10</v>
      </c>
      <c r="B20" s="145" t="s">
        <v>196</v>
      </c>
      <c r="C20" s="146">
        <v>500000</v>
      </c>
      <c r="D20" s="147">
        <f t="shared" si="0"/>
        <v>500000</v>
      </c>
      <c r="E20" s="148"/>
    </row>
    <row r="21" spans="1:5" s="149" customFormat="1" ht="17.25" customHeight="1">
      <c r="A21" s="144">
        <v>11</v>
      </c>
      <c r="B21" s="145" t="s">
        <v>197</v>
      </c>
      <c r="C21" s="146">
        <v>500000</v>
      </c>
      <c r="D21" s="147">
        <f t="shared" si="0"/>
        <v>500000</v>
      </c>
      <c r="E21" s="148"/>
    </row>
    <row r="22" spans="1:5" s="143" customFormat="1" ht="17.25" customHeight="1">
      <c r="A22" s="141" t="s">
        <v>152</v>
      </c>
      <c r="B22" s="141" t="s">
        <v>198</v>
      </c>
      <c r="C22" s="150"/>
      <c r="D22" s="150">
        <f>SUM(D23:D28)</f>
        <v>2700000</v>
      </c>
      <c r="E22" s="141"/>
    </row>
    <row r="23" spans="1:5" ht="17.25" customHeight="1">
      <c r="A23" s="144">
        <v>12</v>
      </c>
      <c r="B23" s="145" t="s">
        <v>199</v>
      </c>
      <c r="C23" s="146">
        <v>500000</v>
      </c>
      <c r="D23" s="147">
        <f t="shared" si="0"/>
        <v>500000</v>
      </c>
      <c r="E23" s="148"/>
    </row>
    <row r="24" spans="1:5" ht="17.25" customHeight="1">
      <c r="A24" s="144">
        <v>13</v>
      </c>
      <c r="B24" s="145" t="s">
        <v>200</v>
      </c>
      <c r="C24" s="146">
        <v>500000</v>
      </c>
      <c r="D24" s="147">
        <f t="shared" si="0"/>
        <v>500000</v>
      </c>
      <c r="E24" s="153"/>
    </row>
    <row r="25" spans="1:5" ht="17.25" customHeight="1">
      <c r="A25" s="144">
        <v>14</v>
      </c>
      <c r="B25" s="145" t="s">
        <v>201</v>
      </c>
      <c r="C25" s="146">
        <v>500000</v>
      </c>
      <c r="D25" s="147">
        <f t="shared" si="0"/>
        <v>500000</v>
      </c>
      <c r="E25" s="148"/>
    </row>
    <row r="26" spans="1:5" ht="17.25" customHeight="1">
      <c r="A26" s="144">
        <v>15</v>
      </c>
      <c r="B26" s="145" t="s">
        <v>202</v>
      </c>
      <c r="C26" s="146">
        <v>500000</v>
      </c>
      <c r="D26" s="147">
        <f t="shared" si="0"/>
        <v>500000</v>
      </c>
      <c r="E26" s="148"/>
    </row>
    <row r="27" spans="1:5" ht="17.25" customHeight="1">
      <c r="A27" s="144">
        <v>16</v>
      </c>
      <c r="B27" s="145" t="s">
        <v>203</v>
      </c>
      <c r="C27" s="146">
        <v>500000</v>
      </c>
      <c r="D27" s="147">
        <v>200000</v>
      </c>
      <c r="E27" s="148" t="s">
        <v>286</v>
      </c>
    </row>
    <row r="28" spans="1:5" ht="17.25" customHeight="1">
      <c r="A28" s="144">
        <v>17</v>
      </c>
      <c r="B28" s="145" t="s">
        <v>204</v>
      </c>
      <c r="C28" s="146">
        <v>500000</v>
      </c>
      <c r="D28" s="147">
        <f t="shared" si="0"/>
        <v>500000</v>
      </c>
      <c r="E28" s="148"/>
    </row>
    <row r="29" spans="1:5" s="140" customFormat="1" ht="24" customHeight="1">
      <c r="A29" s="141" t="s">
        <v>205</v>
      </c>
      <c r="B29" s="141" t="s">
        <v>206</v>
      </c>
      <c r="C29" s="150"/>
      <c r="D29" s="154">
        <f>SUM(D30:D35)</f>
        <v>3000000</v>
      </c>
      <c r="E29" s="141"/>
    </row>
    <row r="30" spans="1:5" ht="17.25" customHeight="1">
      <c r="A30" s="144">
        <v>18</v>
      </c>
      <c r="B30" s="145" t="s">
        <v>207</v>
      </c>
      <c r="C30" s="146">
        <v>500000</v>
      </c>
      <c r="D30" s="147">
        <f t="shared" si="0"/>
        <v>500000</v>
      </c>
      <c r="E30" s="148"/>
    </row>
    <row r="31" spans="1:5" ht="17.25" customHeight="1">
      <c r="A31" s="144">
        <v>19</v>
      </c>
      <c r="B31" s="145" t="s">
        <v>208</v>
      </c>
      <c r="C31" s="146">
        <v>500000</v>
      </c>
      <c r="D31" s="147">
        <f t="shared" si="0"/>
        <v>500000</v>
      </c>
      <c r="E31" s="148"/>
    </row>
    <row r="32" spans="1:5" ht="17.25" customHeight="1">
      <c r="A32" s="144">
        <v>20</v>
      </c>
      <c r="B32" s="145" t="s">
        <v>209</v>
      </c>
      <c r="C32" s="146">
        <v>500000</v>
      </c>
      <c r="D32" s="147">
        <f t="shared" si="0"/>
        <v>500000</v>
      </c>
      <c r="E32" s="148"/>
    </row>
    <row r="33" spans="1:5" ht="17.25" customHeight="1">
      <c r="A33" s="144">
        <v>21</v>
      </c>
      <c r="B33" s="145" t="s">
        <v>210</v>
      </c>
      <c r="C33" s="146">
        <v>500000</v>
      </c>
      <c r="D33" s="147">
        <f t="shared" si="0"/>
        <v>500000</v>
      </c>
      <c r="E33" s="148"/>
    </row>
    <row r="34" spans="1:5" ht="17.25" customHeight="1">
      <c r="A34" s="144">
        <v>22</v>
      </c>
      <c r="B34" s="145" t="s">
        <v>211</v>
      </c>
      <c r="C34" s="146">
        <v>500000</v>
      </c>
      <c r="D34" s="147">
        <f t="shared" si="0"/>
        <v>500000</v>
      </c>
      <c r="E34" s="148"/>
    </row>
    <row r="35" spans="1:5" ht="17.25" customHeight="1">
      <c r="A35" s="144">
        <v>23</v>
      </c>
      <c r="B35" s="145" t="s">
        <v>212</v>
      </c>
      <c r="C35" s="146">
        <v>500000</v>
      </c>
      <c r="D35" s="147">
        <f t="shared" si="0"/>
        <v>500000</v>
      </c>
      <c r="E35" s="148"/>
    </row>
    <row r="36" spans="1:5" s="143" customFormat="1" ht="17.25" customHeight="1">
      <c r="A36" s="141" t="s">
        <v>213</v>
      </c>
      <c r="B36" s="141" t="s">
        <v>214</v>
      </c>
      <c r="C36" s="150"/>
      <c r="D36" s="155">
        <f>SUM(D37:D40)</f>
        <v>1700000</v>
      </c>
      <c r="E36" s="141"/>
    </row>
    <row r="37" spans="1:5" ht="17.25" customHeight="1">
      <c r="A37" s="144">
        <v>24</v>
      </c>
      <c r="B37" s="145" t="s">
        <v>215</v>
      </c>
      <c r="C37" s="146">
        <v>500000</v>
      </c>
      <c r="D37" s="147">
        <f t="shared" si="0"/>
        <v>500000</v>
      </c>
      <c r="E37" s="148"/>
    </row>
    <row r="38" spans="1:5" ht="17.25" customHeight="1">
      <c r="A38" s="144">
        <v>25</v>
      </c>
      <c r="B38" s="145" t="s">
        <v>216</v>
      </c>
      <c r="C38" s="146">
        <v>500000</v>
      </c>
      <c r="D38" s="147">
        <v>200000</v>
      </c>
      <c r="E38" s="148" t="s">
        <v>286</v>
      </c>
    </row>
    <row r="39" spans="1:5" ht="17.25" customHeight="1">
      <c r="A39" s="144">
        <v>26</v>
      </c>
      <c r="B39" s="145" t="s">
        <v>188</v>
      </c>
      <c r="C39" s="146">
        <v>500000</v>
      </c>
      <c r="D39" s="147">
        <f t="shared" si="0"/>
        <v>500000</v>
      </c>
      <c r="E39" s="148"/>
    </row>
    <row r="40" spans="1:5" ht="17.25" customHeight="1">
      <c r="A40" s="144">
        <v>27</v>
      </c>
      <c r="B40" s="145" t="s">
        <v>217</v>
      </c>
      <c r="C40" s="146">
        <v>500000</v>
      </c>
      <c r="D40" s="147">
        <f t="shared" si="0"/>
        <v>500000</v>
      </c>
      <c r="E40" s="148"/>
    </row>
    <row r="41" spans="1:5" s="143" customFormat="1" ht="17.25" customHeight="1">
      <c r="A41" s="141" t="s">
        <v>218</v>
      </c>
      <c r="B41" s="141" t="s">
        <v>219</v>
      </c>
      <c r="C41" s="150"/>
      <c r="D41" s="155">
        <f>SUM(D42:D47)</f>
        <v>2400000</v>
      </c>
      <c r="E41" s="141"/>
    </row>
    <row r="42" spans="1:5" ht="17.25" customHeight="1">
      <c r="A42" s="144">
        <v>28</v>
      </c>
      <c r="B42" s="151" t="s">
        <v>220</v>
      </c>
      <c r="C42" s="146">
        <v>500000</v>
      </c>
      <c r="D42" s="147">
        <f t="shared" si="0"/>
        <v>500000</v>
      </c>
      <c r="E42" s="148"/>
    </row>
    <row r="43" spans="1:5" ht="17.25" customHeight="1">
      <c r="A43" s="144">
        <v>29</v>
      </c>
      <c r="B43" s="145" t="s">
        <v>221</v>
      </c>
      <c r="C43" s="146">
        <v>500000</v>
      </c>
      <c r="D43" s="147">
        <f t="shared" si="0"/>
        <v>500000</v>
      </c>
      <c r="E43" s="148"/>
    </row>
    <row r="44" spans="1:5" ht="17.25" customHeight="1">
      <c r="A44" s="144">
        <v>30</v>
      </c>
      <c r="B44" s="151" t="s">
        <v>222</v>
      </c>
      <c r="C44" s="146">
        <v>500000</v>
      </c>
      <c r="D44" s="147">
        <v>200000</v>
      </c>
      <c r="E44" s="148" t="s">
        <v>287</v>
      </c>
    </row>
    <row r="45" spans="1:5" ht="17.25" customHeight="1">
      <c r="A45" s="144">
        <v>31</v>
      </c>
      <c r="B45" s="151" t="s">
        <v>223</v>
      </c>
      <c r="C45" s="146">
        <v>500000</v>
      </c>
      <c r="D45" s="147">
        <v>200000</v>
      </c>
      <c r="E45" s="148" t="s">
        <v>286</v>
      </c>
    </row>
    <row r="46" spans="1:5" ht="17.25" customHeight="1">
      <c r="A46" s="144">
        <v>32</v>
      </c>
      <c r="B46" s="151" t="s">
        <v>224</v>
      </c>
      <c r="C46" s="146">
        <v>500000</v>
      </c>
      <c r="D46" s="147">
        <f t="shared" si="0"/>
        <v>500000</v>
      </c>
      <c r="E46" s="148"/>
    </row>
    <row r="47" spans="1:5" ht="17.25" customHeight="1">
      <c r="A47" s="144">
        <v>33</v>
      </c>
      <c r="B47" s="145" t="s">
        <v>225</v>
      </c>
      <c r="C47" s="146">
        <v>500000</v>
      </c>
      <c r="D47" s="147">
        <f t="shared" si="0"/>
        <v>500000</v>
      </c>
      <c r="E47" s="148"/>
    </row>
    <row r="48" spans="1:5" s="143" customFormat="1" ht="17.25" customHeight="1">
      <c r="A48" s="141" t="s">
        <v>226</v>
      </c>
      <c r="B48" s="141" t="s">
        <v>227</v>
      </c>
      <c r="C48" s="150"/>
      <c r="D48" s="155">
        <f>SUM(D49:D54)</f>
        <v>2500000</v>
      </c>
      <c r="E48" s="141"/>
    </row>
    <row r="49" spans="1:256" ht="17.25" customHeight="1">
      <c r="A49" s="144">
        <v>34</v>
      </c>
      <c r="B49" s="145" t="s">
        <v>228</v>
      </c>
      <c r="C49" s="146">
        <v>500000</v>
      </c>
      <c r="D49" s="147">
        <f t="shared" si="0"/>
        <v>500000</v>
      </c>
      <c r="E49" s="148"/>
    </row>
    <row r="50" spans="1:256" ht="17.25" customHeight="1">
      <c r="A50" s="144">
        <v>35</v>
      </c>
      <c r="B50" s="145" t="s">
        <v>229</v>
      </c>
      <c r="C50" s="146">
        <v>500000</v>
      </c>
      <c r="D50" s="147">
        <f t="shared" si="0"/>
        <v>500000</v>
      </c>
      <c r="E50" s="148"/>
    </row>
    <row r="51" spans="1:256" ht="17.25" customHeight="1">
      <c r="A51" s="144">
        <v>36</v>
      </c>
      <c r="B51" s="145" t="s">
        <v>230</v>
      </c>
      <c r="C51" s="146">
        <v>500000</v>
      </c>
      <c r="D51" s="147">
        <f t="shared" si="0"/>
        <v>500000</v>
      </c>
      <c r="E51" s="148"/>
    </row>
    <row r="52" spans="1:256" ht="17.25" customHeight="1">
      <c r="A52" s="144">
        <v>37</v>
      </c>
      <c r="B52" s="145" t="s">
        <v>231</v>
      </c>
      <c r="C52" s="146">
        <v>500000</v>
      </c>
      <c r="D52" s="147">
        <f t="shared" si="0"/>
        <v>500000</v>
      </c>
      <c r="E52" s="148"/>
    </row>
    <row r="53" spans="1:256" ht="17.25" customHeight="1">
      <c r="A53" s="144">
        <v>38</v>
      </c>
      <c r="B53" s="145" t="s">
        <v>232</v>
      </c>
      <c r="C53" s="146"/>
      <c r="D53" s="147">
        <f t="shared" si="0"/>
        <v>0</v>
      </c>
      <c r="E53" s="148" t="s">
        <v>288</v>
      </c>
      <c r="F53" s="152" t="s">
        <v>289</v>
      </c>
    </row>
    <row r="54" spans="1:256" ht="17.25" customHeight="1">
      <c r="A54" s="144">
        <v>39</v>
      </c>
      <c r="B54" s="145" t="s">
        <v>234</v>
      </c>
      <c r="C54" s="146">
        <v>500000</v>
      </c>
      <c r="D54" s="147">
        <f t="shared" si="0"/>
        <v>500000</v>
      </c>
      <c r="E54" s="148"/>
    </row>
    <row r="55" spans="1:256" s="143" customFormat="1" ht="17.25" customHeight="1">
      <c r="A55" s="141" t="s">
        <v>235</v>
      </c>
      <c r="B55" s="141" t="s">
        <v>236</v>
      </c>
      <c r="C55" s="150"/>
      <c r="D55" s="155">
        <f>SUM(D56:D61)</f>
        <v>3000000</v>
      </c>
      <c r="E55" s="141"/>
      <c r="IV55" s="156">
        <f>SUM(D55:IU55)</f>
        <v>3000000</v>
      </c>
    </row>
    <row r="56" spans="1:256" ht="17.25" customHeight="1">
      <c r="A56" s="144">
        <v>40</v>
      </c>
      <c r="B56" s="145" t="s">
        <v>237</v>
      </c>
      <c r="C56" s="146">
        <v>500000</v>
      </c>
      <c r="D56" s="147">
        <f t="shared" si="0"/>
        <v>500000</v>
      </c>
      <c r="E56" s="148"/>
    </row>
    <row r="57" spans="1:256" ht="17.25" customHeight="1">
      <c r="A57" s="144">
        <v>41</v>
      </c>
      <c r="B57" s="145" t="s">
        <v>238</v>
      </c>
      <c r="C57" s="146">
        <v>500000</v>
      </c>
      <c r="D57" s="147">
        <f t="shared" si="0"/>
        <v>500000</v>
      </c>
      <c r="E57" s="148"/>
    </row>
    <row r="58" spans="1:256" ht="17.25" customHeight="1">
      <c r="A58" s="144">
        <v>42</v>
      </c>
      <c r="B58" s="145" t="s">
        <v>239</v>
      </c>
      <c r="C58" s="146">
        <v>500000</v>
      </c>
      <c r="D58" s="147">
        <f t="shared" si="0"/>
        <v>500000</v>
      </c>
      <c r="E58" s="148"/>
    </row>
    <row r="59" spans="1:256" ht="17.25" customHeight="1">
      <c r="A59" s="144">
        <v>43</v>
      </c>
      <c r="B59" s="145" t="s">
        <v>240</v>
      </c>
      <c r="C59" s="146">
        <v>500000</v>
      </c>
      <c r="D59" s="147">
        <f t="shared" si="0"/>
        <v>500000</v>
      </c>
      <c r="E59" s="157"/>
    </row>
    <row r="60" spans="1:256" ht="17.25" customHeight="1">
      <c r="A60" s="144">
        <v>44</v>
      </c>
      <c r="B60" s="158" t="s">
        <v>241</v>
      </c>
      <c r="C60" s="146">
        <v>500000</v>
      </c>
      <c r="D60" s="147">
        <f t="shared" si="0"/>
        <v>500000</v>
      </c>
      <c r="E60" s="148"/>
    </row>
    <row r="61" spans="1:256" ht="17.25" customHeight="1">
      <c r="A61" s="144">
        <v>45</v>
      </c>
      <c r="B61" s="145" t="s">
        <v>242</v>
      </c>
      <c r="C61" s="146">
        <v>500000</v>
      </c>
      <c r="D61" s="147">
        <f t="shared" si="0"/>
        <v>500000</v>
      </c>
      <c r="E61" s="148"/>
    </row>
    <row r="62" spans="1:256" s="143" customFormat="1" ht="17.25" customHeight="1">
      <c r="A62" s="141" t="s">
        <v>243</v>
      </c>
      <c r="B62" s="141" t="s">
        <v>244</v>
      </c>
      <c r="C62" s="150"/>
      <c r="D62" s="155">
        <f>SUM(D63:D66)</f>
        <v>2000000</v>
      </c>
      <c r="E62" s="141"/>
    </row>
    <row r="63" spans="1:256" ht="17.25" customHeight="1">
      <c r="A63" s="144">
        <v>46</v>
      </c>
      <c r="B63" s="145" t="s">
        <v>245</v>
      </c>
      <c r="C63" s="146">
        <v>500000</v>
      </c>
      <c r="D63" s="147">
        <f t="shared" si="0"/>
        <v>500000</v>
      </c>
      <c r="E63" s="148"/>
    </row>
    <row r="64" spans="1:256" ht="17.25" customHeight="1">
      <c r="A64" s="144">
        <v>47</v>
      </c>
      <c r="B64" s="145" t="s">
        <v>246</v>
      </c>
      <c r="C64" s="146">
        <v>500000</v>
      </c>
      <c r="D64" s="147">
        <f t="shared" si="0"/>
        <v>500000</v>
      </c>
      <c r="E64" s="148"/>
    </row>
    <row r="65" spans="1:256" ht="17.25" customHeight="1">
      <c r="A65" s="144">
        <v>48</v>
      </c>
      <c r="B65" s="145" t="s">
        <v>247</v>
      </c>
      <c r="C65" s="146">
        <v>500000</v>
      </c>
      <c r="D65" s="147">
        <f t="shared" si="0"/>
        <v>500000</v>
      </c>
      <c r="E65" s="148"/>
    </row>
    <row r="66" spans="1:256" ht="15.75">
      <c r="A66" s="144">
        <v>49</v>
      </c>
      <c r="B66" s="145" t="s">
        <v>248</v>
      </c>
      <c r="C66" s="146">
        <v>500000</v>
      </c>
      <c r="D66" s="147">
        <f t="shared" si="0"/>
        <v>500000</v>
      </c>
      <c r="E66" s="153"/>
    </row>
    <row r="67" spans="1:256" s="143" customFormat="1" ht="17.25" customHeight="1">
      <c r="A67" s="141" t="s">
        <v>249</v>
      </c>
      <c r="B67" s="141" t="s">
        <v>250</v>
      </c>
      <c r="C67" s="150"/>
      <c r="D67" s="155">
        <f>SUM(D68:D73)</f>
        <v>3000000</v>
      </c>
      <c r="E67" s="141"/>
    </row>
    <row r="68" spans="1:256" ht="17.25" customHeight="1">
      <c r="A68" s="144">
        <v>50</v>
      </c>
      <c r="B68" s="145" t="s">
        <v>251</v>
      </c>
      <c r="C68" s="146">
        <v>500000</v>
      </c>
      <c r="D68" s="147">
        <f t="shared" si="0"/>
        <v>500000</v>
      </c>
      <c r="E68" s="148"/>
    </row>
    <row r="69" spans="1:256" ht="17.25" customHeight="1">
      <c r="A69" s="144">
        <v>51</v>
      </c>
      <c r="B69" s="145" t="s">
        <v>252</v>
      </c>
      <c r="C69" s="146">
        <v>500000</v>
      </c>
      <c r="D69" s="147">
        <f t="shared" si="0"/>
        <v>500000</v>
      </c>
      <c r="E69" s="148"/>
    </row>
    <row r="70" spans="1:256" ht="17.25" customHeight="1">
      <c r="A70" s="144">
        <v>52</v>
      </c>
      <c r="B70" s="145" t="s">
        <v>253</v>
      </c>
      <c r="C70" s="146">
        <v>500000</v>
      </c>
      <c r="D70" s="147">
        <f t="shared" si="0"/>
        <v>500000</v>
      </c>
      <c r="E70" s="148"/>
    </row>
    <row r="71" spans="1:256" ht="17.25" customHeight="1">
      <c r="A71" s="144">
        <v>53</v>
      </c>
      <c r="B71" s="145" t="s">
        <v>254</v>
      </c>
      <c r="C71" s="146">
        <v>500000</v>
      </c>
      <c r="D71" s="147">
        <f t="shared" si="0"/>
        <v>500000</v>
      </c>
      <c r="E71" s="148"/>
    </row>
    <row r="72" spans="1:256" ht="17.25" customHeight="1">
      <c r="A72" s="144">
        <v>54</v>
      </c>
      <c r="B72" s="145" t="s">
        <v>255</v>
      </c>
      <c r="C72" s="146">
        <v>500000</v>
      </c>
      <c r="D72" s="147">
        <f t="shared" si="0"/>
        <v>500000</v>
      </c>
      <c r="E72" s="148"/>
    </row>
    <row r="73" spans="1:256" ht="17.25" customHeight="1">
      <c r="A73" s="144">
        <v>55</v>
      </c>
      <c r="B73" s="145" t="s">
        <v>256</v>
      </c>
      <c r="C73" s="146">
        <v>500000</v>
      </c>
      <c r="D73" s="147">
        <f t="shared" si="0"/>
        <v>500000</v>
      </c>
      <c r="E73" s="148"/>
    </row>
    <row r="74" spans="1:256" s="143" customFormat="1" ht="17.25" customHeight="1">
      <c r="A74" s="141" t="s">
        <v>257</v>
      </c>
      <c r="B74" s="141" t="s">
        <v>258</v>
      </c>
      <c r="C74" s="150"/>
      <c r="D74" s="155">
        <f>SUM(D75:D79)</f>
        <v>2500000</v>
      </c>
      <c r="E74" s="141"/>
    </row>
    <row r="75" spans="1:256" ht="17.25" customHeight="1">
      <c r="A75" s="144">
        <v>56</v>
      </c>
      <c r="B75" s="145" t="s">
        <v>259</v>
      </c>
      <c r="C75" s="146">
        <v>500000</v>
      </c>
      <c r="D75" s="147">
        <f t="shared" ref="D75:D85" si="1">C75</f>
        <v>500000</v>
      </c>
      <c r="E75" s="148"/>
    </row>
    <row r="76" spans="1:256" ht="17.25" customHeight="1">
      <c r="A76" s="144">
        <v>57</v>
      </c>
      <c r="B76" s="145" t="s">
        <v>260</v>
      </c>
      <c r="C76" s="146">
        <v>500000</v>
      </c>
      <c r="D76" s="147">
        <f t="shared" si="1"/>
        <v>500000</v>
      </c>
      <c r="E76" s="148"/>
    </row>
    <row r="77" spans="1:256" ht="17.25" customHeight="1">
      <c r="A77" s="144">
        <v>58</v>
      </c>
      <c r="B77" s="145" t="s">
        <v>261</v>
      </c>
      <c r="C77" s="146">
        <v>500000</v>
      </c>
      <c r="D77" s="147">
        <f t="shared" si="1"/>
        <v>500000</v>
      </c>
      <c r="E77" s="148"/>
    </row>
    <row r="78" spans="1:256" ht="17.25" customHeight="1">
      <c r="A78" s="144">
        <v>59</v>
      </c>
      <c r="B78" s="145" t="s">
        <v>262</v>
      </c>
      <c r="C78" s="146">
        <v>500000</v>
      </c>
      <c r="D78" s="147">
        <f t="shared" si="1"/>
        <v>500000</v>
      </c>
      <c r="E78" s="148"/>
    </row>
    <row r="79" spans="1:256" ht="17.25" customHeight="1">
      <c r="A79" s="144">
        <v>60</v>
      </c>
      <c r="B79" s="145" t="s">
        <v>263</v>
      </c>
      <c r="C79" s="146">
        <v>500000</v>
      </c>
      <c r="D79" s="147">
        <f t="shared" si="1"/>
        <v>500000</v>
      </c>
      <c r="E79" s="148"/>
    </row>
    <row r="80" spans="1:256" s="143" customFormat="1" ht="17.25" customHeight="1">
      <c r="A80" s="141" t="s">
        <v>264</v>
      </c>
      <c r="B80" s="141" t="s">
        <v>265</v>
      </c>
      <c r="C80" s="150"/>
      <c r="D80" s="155">
        <f>SUM(D81:D85)</f>
        <v>2500000</v>
      </c>
      <c r="E80" s="141"/>
      <c r="IV80" s="156">
        <f>SUM(D80:IU80)</f>
        <v>2500000</v>
      </c>
    </row>
    <row r="81" spans="1:43" ht="17.25" customHeight="1">
      <c r="A81" s="144">
        <v>61</v>
      </c>
      <c r="B81" s="145" t="s">
        <v>266</v>
      </c>
      <c r="C81" s="146">
        <v>500000</v>
      </c>
      <c r="D81" s="147">
        <f t="shared" si="1"/>
        <v>500000</v>
      </c>
      <c r="E81" s="153"/>
    </row>
    <row r="82" spans="1:43" ht="17.25" customHeight="1">
      <c r="A82" s="144">
        <v>62</v>
      </c>
      <c r="B82" s="145" t="s">
        <v>267</v>
      </c>
      <c r="C82" s="146">
        <v>500000</v>
      </c>
      <c r="D82" s="147">
        <f t="shared" si="1"/>
        <v>500000</v>
      </c>
      <c r="E82" s="148"/>
    </row>
    <row r="83" spans="1:43" ht="17.25" customHeight="1">
      <c r="A83" s="144">
        <v>63</v>
      </c>
      <c r="B83" s="145" t="s">
        <v>268</v>
      </c>
      <c r="C83" s="146">
        <v>500000</v>
      </c>
      <c r="D83" s="147">
        <f t="shared" si="1"/>
        <v>500000</v>
      </c>
      <c r="E83" s="148"/>
    </row>
    <row r="84" spans="1:43" ht="17.25" customHeight="1">
      <c r="A84" s="144">
        <v>64</v>
      </c>
      <c r="B84" s="145" t="s">
        <v>187</v>
      </c>
      <c r="C84" s="146">
        <v>500000</v>
      </c>
      <c r="D84" s="147">
        <f t="shared" si="1"/>
        <v>500000</v>
      </c>
      <c r="E84" s="148"/>
    </row>
    <row r="85" spans="1:43" ht="17.25" customHeight="1">
      <c r="A85" s="144">
        <v>65</v>
      </c>
      <c r="B85" s="145" t="s">
        <v>270</v>
      </c>
      <c r="C85" s="146">
        <v>500000</v>
      </c>
      <c r="D85" s="147">
        <f t="shared" si="1"/>
        <v>500000</v>
      </c>
      <c r="E85" s="148"/>
    </row>
    <row r="86" spans="1:43" ht="17.25" customHeight="1">
      <c r="A86" s="211" t="s">
        <v>271</v>
      </c>
      <c r="B86" s="211"/>
      <c r="C86" s="159"/>
      <c r="D86" s="147">
        <f>D80+D74+D67+D62+D55+D48+D41+D36+D29+D22+D15+D9</f>
        <v>30500000</v>
      </c>
      <c r="E86" s="160"/>
      <c r="G86" s="161"/>
    </row>
    <row r="87" spans="1:43" ht="17.25" customHeight="1">
      <c r="A87" s="162" t="s">
        <v>290</v>
      </c>
      <c r="B87" s="163"/>
      <c r="C87" s="164"/>
      <c r="D87" s="165"/>
      <c r="E87" s="166"/>
    </row>
    <row r="88" spans="1:43" ht="15" customHeight="1">
      <c r="A88" s="167"/>
      <c r="E88" s="169" t="s">
        <v>291</v>
      </c>
    </row>
    <row r="89" spans="1:43" s="171" customFormat="1" ht="15.75">
      <c r="A89" s="170" t="s">
        <v>292</v>
      </c>
      <c r="C89" s="172" t="s">
        <v>275</v>
      </c>
      <c r="E89" s="173" t="s">
        <v>276</v>
      </c>
    </row>
    <row r="90" spans="1:43" s="176" customFormat="1" ht="15" customHeight="1">
      <c r="A90" s="174"/>
      <c r="B90" s="175"/>
      <c r="E90" s="177"/>
    </row>
    <row r="91" spans="1:43" s="176" customFormat="1" ht="15" customHeight="1">
      <c r="A91" s="174"/>
      <c r="B91" s="175"/>
      <c r="E91" s="177"/>
    </row>
    <row r="92" spans="1:43" s="176" customFormat="1" ht="15" customHeight="1">
      <c r="A92" s="174"/>
      <c r="B92" s="175"/>
      <c r="E92" s="177"/>
    </row>
    <row r="93" spans="1:43" s="125" customFormat="1" ht="15">
      <c r="A93" s="174"/>
      <c r="B93" s="178"/>
      <c r="E93" s="179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</row>
    <row r="94" spans="1:43" s="130" customFormat="1" ht="14.25">
      <c r="A94" s="128" t="s">
        <v>293</v>
      </c>
      <c r="B94" s="129"/>
      <c r="E94" s="180" t="s">
        <v>279</v>
      </c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</row>
    <row r="95" spans="1:43" s="130" customFormat="1" ht="14.25">
      <c r="A95" s="133"/>
      <c r="B95" s="125"/>
      <c r="C95" s="134"/>
      <c r="D95" s="135"/>
      <c r="E95" s="135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</row>
    <row r="96" spans="1:43" s="130" customFormat="1" ht="14.25">
      <c r="A96" s="133"/>
      <c r="B96" s="125"/>
      <c r="C96" s="134"/>
      <c r="D96" s="135"/>
      <c r="E96" s="135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2"/>
      <c r="AG96" s="132"/>
      <c r="AH96" s="132"/>
      <c r="AI96" s="132"/>
      <c r="AJ96" s="132"/>
      <c r="AK96" s="132"/>
      <c r="AL96" s="132"/>
      <c r="AM96" s="132"/>
      <c r="AN96" s="132"/>
      <c r="AO96" s="132"/>
      <c r="AP96" s="132"/>
      <c r="AQ96" s="132"/>
    </row>
    <row r="97" spans="1:43" s="130" customFormat="1" ht="14.25">
      <c r="A97" s="133"/>
      <c r="B97" s="125"/>
      <c r="C97" s="136"/>
      <c r="D97" s="136"/>
      <c r="E97" s="135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  <c r="AO97" s="132"/>
      <c r="AP97" s="132"/>
      <c r="AQ97" s="132"/>
    </row>
    <row r="98" spans="1:43" s="130" customFormat="1" ht="14.25">
      <c r="A98" s="133"/>
      <c r="B98" s="125"/>
      <c r="C98" s="134"/>
      <c r="D98" s="135"/>
      <c r="E98" s="135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2"/>
      <c r="AQ98" s="132"/>
    </row>
    <row r="99" spans="1:43" s="130" customFormat="1" ht="14.25">
      <c r="A99" s="133"/>
      <c r="B99" s="125"/>
      <c r="C99" s="134"/>
      <c r="D99" s="135"/>
      <c r="E99" s="135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132"/>
      <c r="AK99" s="132"/>
      <c r="AL99" s="132"/>
      <c r="AM99" s="132"/>
      <c r="AN99" s="132"/>
      <c r="AO99" s="132"/>
      <c r="AP99" s="132"/>
      <c r="AQ99" s="132"/>
    </row>
    <row r="100" spans="1:43" s="130" customFormat="1" ht="14.25">
      <c r="A100" s="133"/>
      <c r="B100" s="125"/>
      <c r="C100" s="134"/>
      <c r="D100" s="135"/>
      <c r="E100" s="135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  <c r="AF100" s="132"/>
      <c r="AG100" s="132"/>
      <c r="AH100" s="132"/>
      <c r="AI100" s="132"/>
      <c r="AJ100" s="132"/>
      <c r="AK100" s="132"/>
      <c r="AL100" s="132"/>
      <c r="AM100" s="132"/>
      <c r="AN100" s="132"/>
      <c r="AO100" s="132"/>
      <c r="AP100" s="132"/>
      <c r="AQ100" s="132"/>
    </row>
    <row r="101" spans="1:43" s="130" customFormat="1" ht="14.25">
      <c r="A101" s="133"/>
      <c r="B101" s="125"/>
      <c r="C101" s="134"/>
      <c r="D101" s="135"/>
      <c r="E101" s="135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32"/>
      <c r="AH101" s="132"/>
      <c r="AI101" s="132"/>
      <c r="AJ101" s="132"/>
      <c r="AK101" s="132"/>
      <c r="AL101" s="132"/>
      <c r="AM101" s="132"/>
      <c r="AN101" s="132"/>
      <c r="AO101" s="132"/>
      <c r="AP101" s="132"/>
      <c r="AQ101" s="132"/>
    </row>
    <row r="102" spans="1:43" s="171" customFormat="1" ht="15.75">
      <c r="A102" s="181"/>
      <c r="B102" s="181"/>
    </row>
  </sheetData>
  <autoFilter ref="A9:BZ89"/>
  <mergeCells count="9">
    <mergeCell ref="A86:B86"/>
    <mergeCell ref="A4:E4"/>
    <mergeCell ref="A5:E5"/>
    <mergeCell ref="A6:E6"/>
    <mergeCell ref="A7:A8"/>
    <mergeCell ref="B7:B8"/>
    <mergeCell ref="C7:C8"/>
    <mergeCell ref="D7:D8"/>
    <mergeCell ref="E7:E8"/>
  </mergeCells>
  <pageMargins left="0.7086614173228347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opLeftCell="C4" workbookViewId="0">
      <selection activeCell="O20" sqref="O20"/>
    </sheetView>
  </sheetViews>
  <sheetFormatPr defaultColWidth="8.75" defaultRowHeight="15"/>
  <cols>
    <col min="1" max="1" width="5.75" style="60" customWidth="1"/>
    <col min="2" max="2" width="9.625" style="60" customWidth="1"/>
    <col min="3" max="3" width="5.75" style="60" customWidth="1"/>
    <col min="4" max="4" width="7.25" style="60" customWidth="1"/>
    <col min="5" max="5" width="5.875" style="60" customWidth="1"/>
    <col min="6" max="6" width="6.75" style="60" customWidth="1"/>
    <col min="7" max="7" width="9.875" style="60" customWidth="1"/>
    <col min="8" max="8" width="8.625" style="60" customWidth="1"/>
    <col min="9" max="9" width="8.25" style="60" customWidth="1"/>
    <col min="10" max="10" width="9.5" style="60" customWidth="1"/>
    <col min="11" max="12" width="8.375" style="60" customWidth="1"/>
    <col min="13" max="13" width="8.625" style="60" customWidth="1"/>
    <col min="14" max="14" width="10.25" style="60" customWidth="1"/>
    <col min="15" max="15" width="9" style="60" customWidth="1"/>
    <col min="16" max="16" width="8" style="60" customWidth="1"/>
    <col min="17" max="17" width="9.625" style="60" customWidth="1"/>
    <col min="18" max="18" width="8.875" style="60" customWidth="1"/>
    <col min="19" max="19" width="10.75" style="60" customWidth="1"/>
    <col min="20" max="20" width="12.25" style="60" customWidth="1"/>
    <col min="21" max="21" width="10.25" style="60" customWidth="1"/>
    <col min="22" max="22" width="10.375" style="60" customWidth="1"/>
    <col min="23" max="23" width="7.75" style="60" customWidth="1"/>
    <col min="24" max="24" width="6.25" style="60" customWidth="1"/>
    <col min="25" max="25" width="10.25" style="60" customWidth="1"/>
    <col min="26" max="16384" width="8.75" style="60"/>
  </cols>
  <sheetData>
    <row r="1" spans="1:25" ht="17.25" customHeight="1">
      <c r="A1" s="224" t="s">
        <v>67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5" t="s">
        <v>68</v>
      </c>
      <c r="X1" s="225"/>
      <c r="Y1" s="225"/>
    </row>
    <row r="2" spans="1:25" ht="17.25" customHeight="1">
      <c r="A2" s="224" t="s">
        <v>69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</row>
    <row r="3" spans="1:25" ht="15.75" customHeight="1"/>
    <row r="4" spans="1:25" ht="21" customHeight="1">
      <c r="A4" s="226" t="s">
        <v>70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</row>
    <row r="5" spans="1:25" ht="16.5" customHeight="1">
      <c r="A5" s="227" t="s">
        <v>165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</row>
    <row r="6" spans="1:25" ht="17.25" customHeight="1">
      <c r="A6" s="228" t="s">
        <v>72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</row>
    <row r="7" spans="1:25" ht="26.25" customHeight="1">
      <c r="A7" s="223" t="s">
        <v>73</v>
      </c>
      <c r="B7" s="221" t="s">
        <v>74</v>
      </c>
      <c r="C7" s="221" t="s">
        <v>75</v>
      </c>
      <c r="D7" s="221" t="s">
        <v>76</v>
      </c>
      <c r="E7" s="221"/>
      <c r="F7" s="221" t="s">
        <v>77</v>
      </c>
      <c r="G7" s="221" t="s">
        <v>78</v>
      </c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 t="s">
        <v>79</v>
      </c>
      <c r="T7" s="221" t="s">
        <v>80</v>
      </c>
      <c r="U7" s="221"/>
      <c r="V7" s="221" t="s">
        <v>81</v>
      </c>
      <c r="W7" s="221" t="s">
        <v>82</v>
      </c>
      <c r="X7" s="221"/>
      <c r="Y7" s="221"/>
    </row>
    <row r="8" spans="1:25" ht="27.75" customHeight="1">
      <c r="A8" s="223"/>
      <c r="B8" s="221"/>
      <c r="C8" s="221"/>
      <c r="D8" s="222" t="s">
        <v>83</v>
      </c>
      <c r="E8" s="222" t="s">
        <v>84</v>
      </c>
      <c r="F8" s="221"/>
      <c r="G8" s="222" t="s">
        <v>85</v>
      </c>
      <c r="H8" s="222" t="s">
        <v>86</v>
      </c>
      <c r="I8" s="222"/>
      <c r="J8" s="222"/>
      <c r="K8" s="222"/>
      <c r="L8" s="222"/>
      <c r="M8" s="222"/>
      <c r="N8" s="222" t="s">
        <v>87</v>
      </c>
      <c r="O8" s="222"/>
      <c r="P8" s="222"/>
      <c r="Q8" s="222" t="s">
        <v>41</v>
      </c>
      <c r="R8" s="222" t="s">
        <v>88</v>
      </c>
      <c r="S8" s="221"/>
      <c r="T8" s="222" t="s">
        <v>89</v>
      </c>
      <c r="U8" s="222" t="s">
        <v>90</v>
      </c>
      <c r="V8" s="221"/>
      <c r="W8" s="222" t="s">
        <v>76</v>
      </c>
      <c r="X8" s="222" t="s">
        <v>91</v>
      </c>
      <c r="Y8" s="222" t="s">
        <v>89</v>
      </c>
    </row>
    <row r="9" spans="1:25" ht="28.5" customHeight="1">
      <c r="A9" s="223"/>
      <c r="B9" s="221"/>
      <c r="C9" s="221"/>
      <c r="D9" s="222"/>
      <c r="E9" s="222"/>
      <c r="F9" s="221"/>
      <c r="G9" s="222"/>
      <c r="H9" s="61" t="s">
        <v>92</v>
      </c>
      <c r="I9" s="61" t="s">
        <v>93</v>
      </c>
      <c r="J9" s="61" t="s">
        <v>94</v>
      </c>
      <c r="K9" s="61" t="s">
        <v>95</v>
      </c>
      <c r="L9" s="61" t="s">
        <v>96</v>
      </c>
      <c r="M9" s="61" t="s">
        <v>97</v>
      </c>
      <c r="N9" s="61" t="s">
        <v>98</v>
      </c>
      <c r="O9" s="61" t="s">
        <v>94</v>
      </c>
      <c r="P9" s="61" t="s">
        <v>97</v>
      </c>
      <c r="Q9" s="222"/>
      <c r="R9" s="222"/>
      <c r="S9" s="221"/>
      <c r="T9" s="222"/>
      <c r="U9" s="222"/>
      <c r="V9" s="221"/>
      <c r="W9" s="222"/>
      <c r="X9" s="222"/>
      <c r="Y9" s="222"/>
    </row>
    <row r="10" spans="1:25" ht="21" customHeight="1">
      <c r="A10" s="62" t="s">
        <v>99</v>
      </c>
      <c r="B10" s="61" t="s">
        <v>100</v>
      </c>
      <c r="C10" s="61" t="s">
        <v>101</v>
      </c>
      <c r="D10" s="61" t="s">
        <v>102</v>
      </c>
      <c r="E10" s="61" t="s">
        <v>103</v>
      </c>
      <c r="F10" s="61" t="s">
        <v>104</v>
      </c>
      <c r="G10" s="61" t="s">
        <v>105</v>
      </c>
      <c r="H10" s="61" t="s">
        <v>106</v>
      </c>
      <c r="I10" s="61" t="s">
        <v>107</v>
      </c>
      <c r="J10" s="61" t="s">
        <v>108</v>
      </c>
      <c r="K10" s="61" t="s">
        <v>109</v>
      </c>
      <c r="L10" s="61" t="s">
        <v>110</v>
      </c>
      <c r="M10" s="61" t="s">
        <v>111</v>
      </c>
      <c r="N10" s="61" t="s">
        <v>112</v>
      </c>
      <c r="O10" s="61" t="s">
        <v>113</v>
      </c>
      <c r="P10" s="61" t="s">
        <v>114</v>
      </c>
      <c r="Q10" s="61" t="s">
        <v>115</v>
      </c>
      <c r="R10" s="61" t="s">
        <v>116</v>
      </c>
      <c r="S10" s="61" t="s">
        <v>117</v>
      </c>
      <c r="T10" s="61" t="s">
        <v>118</v>
      </c>
      <c r="U10" s="61" t="s">
        <v>119</v>
      </c>
      <c r="V10" s="61" t="s">
        <v>120</v>
      </c>
      <c r="W10" s="61" t="s">
        <v>121</v>
      </c>
      <c r="X10" s="61" t="s">
        <v>122</v>
      </c>
      <c r="Y10" s="61" t="s">
        <v>123</v>
      </c>
    </row>
    <row r="11" spans="1:25" ht="18" customHeight="1">
      <c r="A11" s="217" t="s">
        <v>124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</row>
    <row r="12" spans="1:25" ht="36" customHeight="1">
      <c r="A12" s="62">
        <v>1</v>
      </c>
      <c r="B12" s="63" t="s">
        <v>125</v>
      </c>
      <c r="C12" s="63" t="s">
        <v>126</v>
      </c>
      <c r="D12" s="64">
        <v>1688</v>
      </c>
      <c r="E12" s="64">
        <v>0</v>
      </c>
      <c r="F12" s="65">
        <v>7906</v>
      </c>
      <c r="G12" s="65">
        <v>2725819436.4099998</v>
      </c>
      <c r="H12" s="65">
        <v>147872900</v>
      </c>
      <c r="I12" s="65">
        <v>61386500</v>
      </c>
      <c r="J12" s="65">
        <v>594207120.23000002</v>
      </c>
      <c r="K12" s="65">
        <v>22852000</v>
      </c>
      <c r="L12" s="65">
        <v>717247426.17999995</v>
      </c>
      <c r="M12" s="65">
        <v>27974812</v>
      </c>
      <c r="N12" s="65">
        <v>0</v>
      </c>
      <c r="O12" s="65">
        <v>0</v>
      </c>
      <c r="P12" s="65">
        <v>0</v>
      </c>
      <c r="Q12" s="65">
        <v>27303600</v>
      </c>
      <c r="R12" s="65">
        <v>1106179858</v>
      </c>
      <c r="S12" s="65">
        <v>20795220</v>
      </c>
      <c r="T12" s="65">
        <v>36248907.939999998</v>
      </c>
      <c r="U12" s="65">
        <v>2689570528.4699998</v>
      </c>
      <c r="V12" s="65">
        <v>43110381.479999997</v>
      </c>
      <c r="W12" s="65">
        <v>0</v>
      </c>
      <c r="X12" s="65">
        <v>0</v>
      </c>
      <c r="Y12" s="65">
        <v>0</v>
      </c>
    </row>
    <row r="13" spans="1:25" ht="18" customHeight="1">
      <c r="A13" s="217" t="s">
        <v>127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</row>
    <row r="14" spans="1:25" ht="36" customHeight="1">
      <c r="A14" s="62">
        <v>2</v>
      </c>
      <c r="B14" s="63" t="s">
        <v>125</v>
      </c>
      <c r="C14" s="63" t="s">
        <v>126</v>
      </c>
      <c r="D14" s="64">
        <v>8026</v>
      </c>
      <c r="E14" s="64">
        <v>0</v>
      </c>
      <c r="F14" s="65">
        <v>1136</v>
      </c>
      <c r="G14" s="65">
        <v>1708831110.9300001</v>
      </c>
      <c r="H14" s="65">
        <v>290020544.11000001</v>
      </c>
      <c r="I14" s="65">
        <v>193045050.59999999</v>
      </c>
      <c r="J14" s="65">
        <v>662645581.37</v>
      </c>
      <c r="K14" s="65">
        <v>0</v>
      </c>
      <c r="L14" s="65">
        <v>321591913.44999999</v>
      </c>
      <c r="M14" s="65">
        <v>709218</v>
      </c>
      <c r="N14" s="65">
        <v>0</v>
      </c>
      <c r="O14" s="65">
        <v>0</v>
      </c>
      <c r="P14" s="65">
        <v>0</v>
      </c>
      <c r="Q14" s="65">
        <v>240818803.40000001</v>
      </c>
      <c r="R14" s="65">
        <v>0</v>
      </c>
      <c r="S14" s="65">
        <v>0</v>
      </c>
      <c r="T14" s="65">
        <v>13008052.470000001</v>
      </c>
      <c r="U14" s="65">
        <v>1695823058.46</v>
      </c>
      <c r="V14" s="65">
        <v>33358790.84</v>
      </c>
      <c r="W14" s="65">
        <v>0</v>
      </c>
      <c r="X14" s="65">
        <v>0</v>
      </c>
      <c r="Y14" s="65">
        <v>0</v>
      </c>
    </row>
    <row r="15" spans="1:25" ht="34.5" customHeight="1">
      <c r="A15" s="62">
        <v>3</v>
      </c>
      <c r="B15" s="63" t="s">
        <v>128</v>
      </c>
      <c r="C15" s="63" t="s">
        <v>129</v>
      </c>
      <c r="D15" s="64">
        <v>203</v>
      </c>
      <c r="E15" s="64">
        <v>0</v>
      </c>
      <c r="F15" s="65">
        <v>203</v>
      </c>
      <c r="G15" s="65">
        <v>18640958</v>
      </c>
      <c r="H15" s="65">
        <v>0</v>
      </c>
      <c r="I15" s="65">
        <v>0</v>
      </c>
      <c r="J15" s="65">
        <v>13058458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5582500</v>
      </c>
      <c r="R15" s="65">
        <v>0</v>
      </c>
      <c r="S15" s="65">
        <v>0</v>
      </c>
      <c r="T15" s="65">
        <v>0</v>
      </c>
      <c r="U15" s="65">
        <v>18640958</v>
      </c>
      <c r="V15" s="65">
        <v>75000</v>
      </c>
      <c r="W15" s="65">
        <v>0</v>
      </c>
      <c r="X15" s="65">
        <v>0</v>
      </c>
      <c r="Y15" s="65">
        <v>0</v>
      </c>
    </row>
    <row r="16" spans="1:25" ht="34.5" customHeight="1">
      <c r="A16" s="62">
        <v>4</v>
      </c>
      <c r="B16" s="63" t="s">
        <v>130</v>
      </c>
      <c r="C16" s="63" t="s">
        <v>131</v>
      </c>
      <c r="D16" s="64">
        <v>588</v>
      </c>
      <c r="E16" s="64">
        <v>0</v>
      </c>
      <c r="F16" s="65">
        <v>589</v>
      </c>
      <c r="G16" s="65">
        <v>44956545</v>
      </c>
      <c r="H16" s="65">
        <v>0</v>
      </c>
      <c r="I16" s="65">
        <v>0</v>
      </c>
      <c r="J16" s="65">
        <v>28758045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16142500</v>
      </c>
      <c r="R16" s="65">
        <v>56000</v>
      </c>
      <c r="S16" s="65">
        <v>0</v>
      </c>
      <c r="T16" s="65">
        <v>0</v>
      </c>
      <c r="U16" s="65">
        <v>44956545</v>
      </c>
      <c r="V16" s="65">
        <v>952680</v>
      </c>
      <c r="W16" s="65">
        <v>0</v>
      </c>
      <c r="X16" s="65">
        <v>0</v>
      </c>
      <c r="Y16" s="65">
        <v>0</v>
      </c>
    </row>
    <row r="17" spans="1:25" ht="34.5" customHeight="1">
      <c r="A17" s="62">
        <v>5</v>
      </c>
      <c r="B17" s="63" t="s">
        <v>132</v>
      </c>
      <c r="C17" s="63" t="s">
        <v>133</v>
      </c>
      <c r="D17" s="64">
        <v>641</v>
      </c>
      <c r="E17" s="64">
        <v>0</v>
      </c>
      <c r="F17" s="65">
        <v>641</v>
      </c>
      <c r="G17" s="65">
        <v>54173696</v>
      </c>
      <c r="H17" s="65">
        <v>0</v>
      </c>
      <c r="I17" s="65">
        <v>0</v>
      </c>
      <c r="J17" s="65">
        <v>36546196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17627500</v>
      </c>
      <c r="R17" s="65">
        <v>0</v>
      </c>
      <c r="S17" s="65">
        <v>0</v>
      </c>
      <c r="T17" s="65">
        <v>0</v>
      </c>
      <c r="U17" s="65">
        <v>54173696</v>
      </c>
      <c r="V17" s="65">
        <v>283400</v>
      </c>
      <c r="W17" s="65">
        <v>0</v>
      </c>
      <c r="X17" s="65">
        <v>0</v>
      </c>
      <c r="Y17" s="65">
        <v>0</v>
      </c>
    </row>
    <row r="18" spans="1:25" ht="34.5" customHeight="1">
      <c r="A18" s="62">
        <v>6</v>
      </c>
      <c r="B18" s="63" t="s">
        <v>134</v>
      </c>
      <c r="C18" s="63" t="s">
        <v>135</v>
      </c>
      <c r="D18" s="64">
        <v>617</v>
      </c>
      <c r="E18" s="64">
        <v>0</v>
      </c>
      <c r="F18" s="65">
        <v>617</v>
      </c>
      <c r="G18" s="65">
        <v>55967070</v>
      </c>
      <c r="H18" s="65">
        <v>0</v>
      </c>
      <c r="I18" s="65">
        <v>0</v>
      </c>
      <c r="J18" s="65">
        <v>38999570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16967500</v>
      </c>
      <c r="R18" s="65">
        <v>0</v>
      </c>
      <c r="S18" s="65">
        <v>0</v>
      </c>
      <c r="T18" s="65">
        <v>0</v>
      </c>
      <c r="U18" s="65">
        <v>55967070</v>
      </c>
      <c r="V18" s="65">
        <v>1517650</v>
      </c>
      <c r="W18" s="65">
        <v>0</v>
      </c>
      <c r="X18" s="65">
        <v>0</v>
      </c>
      <c r="Y18" s="65">
        <v>0</v>
      </c>
    </row>
    <row r="19" spans="1:25" ht="34.5" customHeight="1">
      <c r="A19" s="62">
        <v>7</v>
      </c>
      <c r="B19" s="63" t="s">
        <v>136</v>
      </c>
      <c r="C19" s="63" t="s">
        <v>137</v>
      </c>
      <c r="D19" s="64">
        <v>619</v>
      </c>
      <c r="E19" s="64">
        <v>0</v>
      </c>
      <c r="F19" s="65">
        <v>267</v>
      </c>
      <c r="G19" s="65">
        <v>64938631</v>
      </c>
      <c r="H19" s="65">
        <v>0</v>
      </c>
      <c r="I19" s="65">
        <v>0</v>
      </c>
      <c r="J19" s="65">
        <v>47503431</v>
      </c>
      <c r="K19" s="65">
        <v>0</v>
      </c>
      <c r="L19" s="65">
        <v>494200</v>
      </c>
      <c r="M19" s="65">
        <v>0</v>
      </c>
      <c r="N19" s="65">
        <v>0</v>
      </c>
      <c r="O19" s="65">
        <v>0</v>
      </c>
      <c r="P19" s="65">
        <v>0</v>
      </c>
      <c r="Q19" s="65">
        <v>16885000</v>
      </c>
      <c r="R19" s="65">
        <v>56000</v>
      </c>
      <c r="S19" s="65">
        <v>0</v>
      </c>
      <c r="T19" s="65">
        <v>0</v>
      </c>
      <c r="U19" s="65">
        <v>64938631</v>
      </c>
      <c r="V19" s="65">
        <v>1037850</v>
      </c>
      <c r="W19" s="65">
        <v>0</v>
      </c>
      <c r="X19" s="65">
        <v>0</v>
      </c>
      <c r="Y19" s="65">
        <v>0</v>
      </c>
    </row>
    <row r="20" spans="1:25" ht="34.5" customHeight="1">
      <c r="A20" s="62">
        <v>8</v>
      </c>
      <c r="B20" s="63" t="s">
        <v>138</v>
      </c>
      <c r="C20" s="63" t="s">
        <v>139</v>
      </c>
      <c r="D20" s="64">
        <v>573</v>
      </c>
      <c r="E20" s="64">
        <v>0</v>
      </c>
      <c r="F20" s="65">
        <v>588</v>
      </c>
      <c r="G20" s="65">
        <v>49265757</v>
      </c>
      <c r="H20" s="65">
        <v>0</v>
      </c>
      <c r="I20" s="65">
        <v>0</v>
      </c>
      <c r="J20" s="65">
        <v>32281992</v>
      </c>
      <c r="K20" s="65">
        <v>0</v>
      </c>
      <c r="L20" s="65">
        <v>494200</v>
      </c>
      <c r="M20" s="65">
        <v>84565</v>
      </c>
      <c r="N20" s="65">
        <v>0</v>
      </c>
      <c r="O20" s="65">
        <v>0</v>
      </c>
      <c r="P20" s="65">
        <v>0</v>
      </c>
      <c r="Q20" s="65">
        <v>15565000</v>
      </c>
      <c r="R20" s="65">
        <v>840000</v>
      </c>
      <c r="S20" s="65">
        <v>0</v>
      </c>
      <c r="T20" s="65">
        <v>0</v>
      </c>
      <c r="U20" s="65">
        <v>49265757</v>
      </c>
      <c r="V20" s="65">
        <v>176400</v>
      </c>
      <c r="W20" s="65">
        <v>0</v>
      </c>
      <c r="X20" s="65">
        <v>0</v>
      </c>
      <c r="Y20" s="65">
        <v>0</v>
      </c>
    </row>
    <row r="21" spans="1:25" ht="34.5" customHeight="1">
      <c r="A21" s="62">
        <v>9</v>
      </c>
      <c r="B21" s="63" t="s">
        <v>140</v>
      </c>
      <c r="C21" s="63" t="s">
        <v>141</v>
      </c>
      <c r="D21" s="64">
        <v>729</v>
      </c>
      <c r="E21" s="64">
        <v>0</v>
      </c>
      <c r="F21" s="65">
        <v>726</v>
      </c>
      <c r="G21" s="65">
        <v>70297114</v>
      </c>
      <c r="H21" s="65">
        <v>0</v>
      </c>
      <c r="I21" s="65">
        <v>0</v>
      </c>
      <c r="J21" s="65">
        <v>50277114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20020000</v>
      </c>
      <c r="R21" s="65">
        <v>0</v>
      </c>
      <c r="S21" s="65">
        <v>0</v>
      </c>
      <c r="T21" s="65">
        <v>0</v>
      </c>
      <c r="U21" s="65">
        <v>70297114</v>
      </c>
      <c r="V21" s="65">
        <v>716540</v>
      </c>
      <c r="W21" s="65">
        <v>0</v>
      </c>
      <c r="X21" s="65">
        <v>0</v>
      </c>
      <c r="Y21" s="65">
        <v>0</v>
      </c>
    </row>
    <row r="22" spans="1:25" ht="34.5" customHeight="1">
      <c r="A22" s="62">
        <v>10</v>
      </c>
      <c r="B22" s="63" t="s">
        <v>142</v>
      </c>
      <c r="C22" s="63" t="s">
        <v>143</v>
      </c>
      <c r="D22" s="64">
        <v>451</v>
      </c>
      <c r="E22" s="64">
        <v>0</v>
      </c>
      <c r="F22" s="65">
        <v>454</v>
      </c>
      <c r="G22" s="65">
        <v>36813562</v>
      </c>
      <c r="H22" s="65">
        <v>0</v>
      </c>
      <c r="I22" s="65">
        <v>0</v>
      </c>
      <c r="J22" s="65">
        <v>23337162</v>
      </c>
      <c r="K22" s="65">
        <v>0</v>
      </c>
      <c r="L22" s="65">
        <v>988400</v>
      </c>
      <c r="M22" s="65">
        <v>0</v>
      </c>
      <c r="N22" s="65">
        <v>0</v>
      </c>
      <c r="O22" s="65">
        <v>0</v>
      </c>
      <c r="P22" s="65">
        <v>0</v>
      </c>
      <c r="Q22" s="65">
        <v>12320000</v>
      </c>
      <c r="R22" s="65">
        <v>168000</v>
      </c>
      <c r="S22" s="65">
        <v>0</v>
      </c>
      <c r="T22" s="65">
        <v>0</v>
      </c>
      <c r="U22" s="65">
        <v>36813562</v>
      </c>
      <c r="V22" s="65">
        <v>345650</v>
      </c>
      <c r="W22" s="65">
        <v>0</v>
      </c>
      <c r="X22" s="65">
        <v>0</v>
      </c>
      <c r="Y22" s="65">
        <v>0</v>
      </c>
    </row>
    <row r="23" spans="1:25" ht="34.5" customHeight="1">
      <c r="A23" s="62">
        <v>11</v>
      </c>
      <c r="B23" s="63" t="s">
        <v>144</v>
      </c>
      <c r="C23" s="63" t="s">
        <v>145</v>
      </c>
      <c r="D23" s="64">
        <v>819</v>
      </c>
      <c r="E23" s="64">
        <v>0</v>
      </c>
      <c r="F23" s="65">
        <v>820</v>
      </c>
      <c r="G23" s="65">
        <v>71381728</v>
      </c>
      <c r="H23" s="65">
        <v>0</v>
      </c>
      <c r="I23" s="65">
        <v>0</v>
      </c>
      <c r="J23" s="65">
        <v>48364028</v>
      </c>
      <c r="K23" s="65">
        <v>0</v>
      </c>
      <c r="L23" s="65">
        <v>494200</v>
      </c>
      <c r="M23" s="65">
        <v>0</v>
      </c>
      <c r="N23" s="65">
        <v>0</v>
      </c>
      <c r="O23" s="65">
        <v>0</v>
      </c>
      <c r="P23" s="65">
        <v>0</v>
      </c>
      <c r="Q23" s="65">
        <v>22467500</v>
      </c>
      <c r="R23" s="65">
        <v>56000</v>
      </c>
      <c r="S23" s="65">
        <v>0</v>
      </c>
      <c r="T23" s="65">
        <v>0</v>
      </c>
      <c r="U23" s="65">
        <v>71381728</v>
      </c>
      <c r="V23" s="65">
        <v>1449092</v>
      </c>
      <c r="W23" s="65">
        <v>0</v>
      </c>
      <c r="X23" s="65">
        <v>0</v>
      </c>
      <c r="Y23" s="65">
        <v>0</v>
      </c>
    </row>
    <row r="24" spans="1:25" ht="34.5" customHeight="1">
      <c r="A24" s="62">
        <v>12</v>
      </c>
      <c r="B24" s="63" t="s">
        <v>146</v>
      </c>
      <c r="C24" s="63" t="s">
        <v>147</v>
      </c>
      <c r="D24" s="64">
        <v>612</v>
      </c>
      <c r="E24" s="64">
        <v>0</v>
      </c>
      <c r="F24" s="65">
        <v>612</v>
      </c>
      <c r="G24" s="65">
        <v>50977236</v>
      </c>
      <c r="H24" s="65">
        <v>0</v>
      </c>
      <c r="I24" s="65">
        <v>0</v>
      </c>
      <c r="J24" s="65">
        <v>34147236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16830000</v>
      </c>
      <c r="R24" s="65">
        <v>0</v>
      </c>
      <c r="S24" s="65">
        <v>0</v>
      </c>
      <c r="T24" s="65">
        <v>0</v>
      </c>
      <c r="U24" s="65">
        <v>50977236</v>
      </c>
      <c r="V24" s="65">
        <v>2450720</v>
      </c>
      <c r="W24" s="65">
        <v>0</v>
      </c>
      <c r="X24" s="65">
        <v>0</v>
      </c>
      <c r="Y24" s="65">
        <v>0</v>
      </c>
    </row>
    <row r="25" spans="1:25" ht="34.5" customHeight="1">
      <c r="A25" s="62">
        <v>13</v>
      </c>
      <c r="B25" s="63" t="s">
        <v>148</v>
      </c>
      <c r="C25" s="63" t="s">
        <v>149</v>
      </c>
      <c r="D25" s="64">
        <v>394</v>
      </c>
      <c r="E25" s="64">
        <v>0</v>
      </c>
      <c r="F25" s="65">
        <v>394</v>
      </c>
      <c r="G25" s="65">
        <v>32225406</v>
      </c>
      <c r="H25" s="65">
        <v>0</v>
      </c>
      <c r="I25" s="65">
        <v>0</v>
      </c>
      <c r="J25" s="65">
        <v>21390406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10835000</v>
      </c>
      <c r="R25" s="65">
        <v>0</v>
      </c>
      <c r="S25" s="65">
        <v>0</v>
      </c>
      <c r="T25" s="65">
        <v>0</v>
      </c>
      <c r="U25" s="65">
        <v>32225406</v>
      </c>
      <c r="V25" s="65">
        <v>333100</v>
      </c>
      <c r="W25" s="65">
        <v>0</v>
      </c>
      <c r="X25" s="65">
        <v>0</v>
      </c>
      <c r="Y25" s="65">
        <v>0</v>
      </c>
    </row>
    <row r="26" spans="1:25" ht="34.5" customHeight="1">
      <c r="A26" s="62">
        <v>14</v>
      </c>
      <c r="B26" s="63" t="s">
        <v>150</v>
      </c>
      <c r="C26" s="63" t="s">
        <v>151</v>
      </c>
      <c r="D26" s="64">
        <v>366</v>
      </c>
      <c r="E26" s="64">
        <v>0</v>
      </c>
      <c r="F26" s="65">
        <v>370</v>
      </c>
      <c r="G26" s="65">
        <v>31166619</v>
      </c>
      <c r="H26" s="65">
        <v>0</v>
      </c>
      <c r="I26" s="65">
        <v>0</v>
      </c>
      <c r="J26" s="65">
        <v>19847119</v>
      </c>
      <c r="K26" s="65">
        <v>0</v>
      </c>
      <c r="L26" s="65">
        <v>1113000</v>
      </c>
      <c r="M26" s="65">
        <v>0</v>
      </c>
      <c r="N26" s="65">
        <v>0</v>
      </c>
      <c r="O26" s="65">
        <v>0</v>
      </c>
      <c r="P26" s="65">
        <v>0</v>
      </c>
      <c r="Q26" s="65">
        <v>9982500</v>
      </c>
      <c r="R26" s="65">
        <v>224000</v>
      </c>
      <c r="S26" s="65">
        <v>0</v>
      </c>
      <c r="T26" s="65">
        <v>0</v>
      </c>
      <c r="U26" s="65">
        <v>31166619</v>
      </c>
      <c r="V26" s="65">
        <v>1023370</v>
      </c>
      <c r="W26" s="65">
        <v>0</v>
      </c>
      <c r="X26" s="65">
        <v>0</v>
      </c>
      <c r="Y26" s="65">
        <v>0</v>
      </c>
    </row>
    <row r="27" spans="1:25" ht="32.25" customHeight="1">
      <c r="A27" s="66" t="s">
        <v>152</v>
      </c>
      <c r="B27" s="67" t="s">
        <v>85</v>
      </c>
      <c r="C27" s="68"/>
      <c r="D27" s="64">
        <v>16326</v>
      </c>
      <c r="E27" s="64">
        <v>0</v>
      </c>
      <c r="F27" s="65">
        <v>15323</v>
      </c>
      <c r="G27" s="65">
        <v>5015454869.3400002</v>
      </c>
      <c r="H27" s="65">
        <v>437893444.11000001</v>
      </c>
      <c r="I27" s="65">
        <v>254431550.59999999</v>
      </c>
      <c r="J27" s="65">
        <v>1651363458.5999999</v>
      </c>
      <c r="K27" s="65">
        <v>22852000</v>
      </c>
      <c r="L27" s="65">
        <v>1042423339.63</v>
      </c>
      <c r="M27" s="65">
        <v>28768595</v>
      </c>
      <c r="N27" s="65">
        <v>0</v>
      </c>
      <c r="O27" s="65">
        <v>0</v>
      </c>
      <c r="P27" s="65">
        <v>0</v>
      </c>
      <c r="Q27" s="65">
        <v>449347403.39999998</v>
      </c>
      <c r="R27" s="65">
        <v>1107579858</v>
      </c>
      <c r="S27" s="65">
        <v>20795220</v>
      </c>
      <c r="T27" s="65">
        <v>49256960.409999996</v>
      </c>
      <c r="U27" s="65">
        <v>4966197908.9300003</v>
      </c>
      <c r="V27" s="65">
        <v>86830624.319999993</v>
      </c>
      <c r="W27" s="65">
        <v>0</v>
      </c>
      <c r="X27" s="65">
        <v>0</v>
      </c>
      <c r="Y27" s="65">
        <v>0</v>
      </c>
    </row>
    <row r="28" spans="1:25" ht="15" customHeight="1">
      <c r="R28" s="218" t="s">
        <v>153</v>
      </c>
      <c r="S28" s="218"/>
      <c r="T28" s="218"/>
      <c r="U28" s="218"/>
      <c r="V28" s="218"/>
      <c r="W28" s="218"/>
      <c r="X28" s="218"/>
      <c r="Y28" s="218"/>
    </row>
    <row r="29" spans="1:25" ht="18" customHeight="1">
      <c r="A29" s="219" t="s">
        <v>154</v>
      </c>
      <c r="B29" s="219"/>
      <c r="C29" s="219"/>
      <c r="D29" s="219"/>
      <c r="E29" s="219"/>
      <c r="F29" s="219"/>
      <c r="G29" s="219"/>
      <c r="H29" s="219" t="s">
        <v>155</v>
      </c>
      <c r="I29" s="219"/>
      <c r="J29" s="219"/>
      <c r="K29" s="219"/>
      <c r="L29" s="219"/>
      <c r="M29" s="219"/>
      <c r="N29" s="219"/>
      <c r="O29" s="219"/>
      <c r="P29" s="219"/>
      <c r="Q29" s="219" t="s">
        <v>156</v>
      </c>
      <c r="R29" s="219"/>
      <c r="S29" s="219"/>
      <c r="T29" s="219"/>
      <c r="U29" s="219"/>
      <c r="V29" s="219"/>
      <c r="W29" s="219"/>
      <c r="X29" s="219"/>
      <c r="Y29" s="219"/>
    </row>
    <row r="30" spans="1:25" ht="18" customHeight="1">
      <c r="A30" s="220" t="s">
        <v>157</v>
      </c>
      <c r="B30" s="220"/>
      <c r="C30" s="220"/>
      <c r="D30" s="220"/>
      <c r="E30" s="220"/>
      <c r="F30" s="220"/>
      <c r="G30" s="220"/>
      <c r="H30" s="220" t="s">
        <v>157</v>
      </c>
      <c r="I30" s="220"/>
      <c r="J30" s="220"/>
      <c r="K30" s="220"/>
      <c r="L30" s="220"/>
      <c r="M30" s="220"/>
      <c r="N30" s="220"/>
      <c r="O30" s="220"/>
      <c r="P30" s="220"/>
      <c r="Q30" s="220" t="s">
        <v>158</v>
      </c>
      <c r="R30" s="220"/>
      <c r="S30" s="220"/>
      <c r="T30" s="220"/>
      <c r="U30" s="220"/>
      <c r="V30" s="220"/>
      <c r="W30" s="220"/>
      <c r="X30" s="220"/>
      <c r="Y30" s="220"/>
    </row>
    <row r="31" spans="1:25" ht="40.5" customHeight="1"/>
    <row r="32" spans="1:25" ht="16.5" customHeight="1">
      <c r="T32" s="215" t="s">
        <v>166</v>
      </c>
      <c r="U32" s="215"/>
      <c r="V32" s="215"/>
      <c r="W32" s="215"/>
      <c r="X32" s="216" t="s">
        <v>160</v>
      </c>
      <c r="Y32" s="216"/>
    </row>
  </sheetData>
  <mergeCells count="39">
    <mergeCell ref="G7:R7"/>
    <mergeCell ref="R8:R9"/>
    <mergeCell ref="A1:V1"/>
    <mergeCell ref="W1:Y1"/>
    <mergeCell ref="A2:Y2"/>
    <mergeCell ref="A4:Y4"/>
    <mergeCell ref="A5:Y5"/>
    <mergeCell ref="A6:Y6"/>
    <mergeCell ref="T8:T9"/>
    <mergeCell ref="U8:U9"/>
    <mergeCell ref="W8:W9"/>
    <mergeCell ref="X8:X9"/>
    <mergeCell ref="Y8:Y9"/>
    <mergeCell ref="A11:Y11"/>
    <mergeCell ref="S7:S9"/>
    <mergeCell ref="T7:U7"/>
    <mergeCell ref="V7:V9"/>
    <mergeCell ref="W7:Y7"/>
    <mergeCell ref="D8:D9"/>
    <mergeCell ref="E8:E9"/>
    <mergeCell ref="G8:G9"/>
    <mergeCell ref="H8:M8"/>
    <mergeCell ref="N8:P8"/>
    <mergeCell ref="Q8:Q9"/>
    <mergeCell ref="A7:A9"/>
    <mergeCell ref="B7:B9"/>
    <mergeCell ref="C7:C9"/>
    <mergeCell ref="D7:E7"/>
    <mergeCell ref="F7:F9"/>
    <mergeCell ref="T32:W32"/>
    <mergeCell ref="X32:Y32"/>
    <mergeCell ref="A13:Y13"/>
    <mergeCell ref="R28:Y28"/>
    <mergeCell ref="A29:G29"/>
    <mergeCell ref="H29:P29"/>
    <mergeCell ref="Q29:Y29"/>
    <mergeCell ref="A30:G30"/>
    <mergeCell ref="H30:P30"/>
    <mergeCell ref="Q30:Y30"/>
  </mergeCells>
  <pageMargins left="0.23" right="0.25" top="0.36" bottom="0.53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TYT xã _2020_ Tổng hợp</vt:lpstr>
      <vt:lpstr>TYT xã _2020)</vt:lpstr>
      <vt:lpstr>TYT xã _2020_Quý IV (4)</vt:lpstr>
      <vt:lpstr>TYT xã _2020_Quý III (3)</vt:lpstr>
      <vt:lpstr>TYT xã _2020_Quý II (2)</vt:lpstr>
      <vt:lpstr>TYT xã _2020_Quý I</vt:lpstr>
      <vt:lpstr>Thưởng 30.4</vt:lpstr>
      <vt:lpstr>Thưởng 02.9</vt:lpstr>
      <vt:lpstr>Q3.2020</vt:lpstr>
      <vt:lpstr>Q2.2020</vt:lpstr>
      <vt:lpstr>Q1.2020</vt:lpstr>
      <vt:lpstr>Q4.2019</vt:lpstr>
      <vt:lpstr>QT2019 BHYT (2)</vt:lpstr>
      <vt:lpstr>'Thưởng 02.9'!Print_Titles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DUCPRO</dc:creator>
  <cp:lastModifiedBy>LEHUUNGOC</cp:lastModifiedBy>
  <cp:lastPrinted>2021-01-26T03:36:00Z</cp:lastPrinted>
  <dcterms:created xsi:type="dcterms:W3CDTF">2015-04-09T03:46:20Z</dcterms:created>
  <dcterms:modified xsi:type="dcterms:W3CDTF">2021-02-05T02:02:51Z</dcterms:modified>
</cp:coreProperties>
</file>