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40017_9 tháng đầu năm (2)" sheetId="9" r:id="rId1"/>
    <sheet name="Tháng 9" sheetId="7" r:id="rId2"/>
    <sheet name="40017_9 tháng đầu năm" sheetId="8" r:id="rId3"/>
    <sheet name="Trang_tính1 (4)" sheetId="6" r:id="rId4"/>
    <sheet name="Trang_tính1 (3)" sheetId="5" r:id="rId5"/>
    <sheet name="CL đã tính tỷ lệ CPTLở cac khoa" sheetId="4" r:id="rId6"/>
    <sheet name="Trang_tính1 (2)" sheetId="2" r:id="rId7"/>
    <sheet name="Trang_tính1" sheetId="1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9" l="1"/>
  <c r="K56" i="9"/>
  <c r="L46" i="9"/>
  <c r="L45" i="9"/>
  <c r="K44" i="9"/>
  <c r="K41" i="9"/>
  <c r="L43" i="9"/>
  <c r="K13" i="9"/>
  <c r="L15" i="9"/>
  <c r="L11" i="9"/>
  <c r="K14" i="9"/>
  <c r="K16" i="9"/>
  <c r="K11" i="9"/>
  <c r="I29" i="9" l="1"/>
  <c r="I30" i="9"/>
  <c r="I31" i="9"/>
  <c r="I32" i="9"/>
  <c r="I33" i="9"/>
  <c r="I34" i="9"/>
  <c r="I35" i="9"/>
  <c r="I36" i="9"/>
  <c r="J36" i="9" s="1"/>
  <c r="I37" i="9"/>
  <c r="I38" i="9"/>
  <c r="I39" i="9"/>
  <c r="I28" i="9"/>
  <c r="F72" i="9"/>
  <c r="F70" i="9"/>
  <c r="C70" i="9"/>
  <c r="I11" i="9"/>
  <c r="C16" i="9"/>
  <c r="D16" i="9" s="1"/>
  <c r="I56" i="9"/>
  <c r="I59" i="9"/>
  <c r="I60" i="9"/>
  <c r="I61" i="9"/>
  <c r="I62" i="9"/>
  <c r="I63" i="9"/>
  <c r="I64" i="9"/>
  <c r="I65" i="9"/>
  <c r="I66" i="9"/>
  <c r="I67" i="9"/>
  <c r="I68" i="9"/>
  <c r="I69" i="9"/>
  <c r="I58" i="9"/>
  <c r="F23" i="9"/>
  <c r="F19" i="9"/>
  <c r="F18" i="9"/>
  <c r="F16" i="9"/>
  <c r="F15" i="9"/>
  <c r="F14" i="9"/>
  <c r="G38" i="9"/>
  <c r="J38" i="9"/>
  <c r="G37" i="9"/>
  <c r="J37" i="9"/>
  <c r="G36" i="9"/>
  <c r="G35" i="9"/>
  <c r="J35" i="9"/>
  <c r="G34" i="9"/>
  <c r="J34" i="9"/>
  <c r="G33" i="9"/>
  <c r="J33" i="9"/>
  <c r="G32" i="9"/>
  <c r="J32" i="9"/>
  <c r="G31" i="9"/>
  <c r="J31" i="9"/>
  <c r="G30" i="9"/>
  <c r="J30" i="9"/>
  <c r="G29" i="9"/>
  <c r="J29" i="9"/>
  <c r="F28" i="9"/>
  <c r="F39" i="9" s="1"/>
  <c r="C28" i="9"/>
  <c r="G27" i="9"/>
  <c r="I41" i="9"/>
  <c r="F58" i="9"/>
  <c r="F69" i="9" s="1"/>
  <c r="C58" i="9"/>
  <c r="E68" i="9" s="1"/>
  <c r="G57" i="9"/>
  <c r="D68" i="9"/>
  <c r="F43" i="9"/>
  <c r="F54" i="9" s="1"/>
  <c r="C43" i="9"/>
  <c r="E53" i="9" s="1"/>
  <c r="G52" i="9"/>
  <c r="D53" i="9"/>
  <c r="I53" i="9" s="1"/>
  <c r="D15" i="9"/>
  <c r="D17" i="9"/>
  <c r="D20" i="9"/>
  <c r="I20" i="9" s="1"/>
  <c r="D19" i="9"/>
  <c r="G17" i="9"/>
  <c r="G12" i="9"/>
  <c r="G43" i="9" l="1"/>
  <c r="H38" i="9"/>
  <c r="H29" i="9"/>
  <c r="H31" i="9"/>
  <c r="H33" i="9"/>
  <c r="H36" i="9"/>
  <c r="H39" i="9"/>
  <c r="G39" i="9"/>
  <c r="C39" i="9"/>
  <c r="J28" i="9"/>
  <c r="G28" i="9"/>
  <c r="H30" i="9"/>
  <c r="H32" i="9"/>
  <c r="H34" i="9"/>
  <c r="H35" i="9"/>
  <c r="H37" i="9"/>
  <c r="J53" i="9"/>
  <c r="G45" i="9"/>
  <c r="G48" i="9"/>
  <c r="G53" i="9"/>
  <c r="D46" i="9"/>
  <c r="G49" i="9"/>
  <c r="G50" i="9"/>
  <c r="J68" i="9"/>
  <c r="G59" i="9"/>
  <c r="D42" i="9"/>
  <c r="D44" i="9"/>
  <c r="G46" i="9"/>
  <c r="G51" i="9"/>
  <c r="G61" i="9"/>
  <c r="G66" i="9"/>
  <c r="G42" i="9"/>
  <c r="G44" i="9"/>
  <c r="G47" i="9"/>
  <c r="G63" i="9"/>
  <c r="G68" i="9"/>
  <c r="G69" i="9"/>
  <c r="H69" i="9"/>
  <c r="D60" i="9"/>
  <c r="J60" i="9" s="1"/>
  <c r="D62" i="9"/>
  <c r="J62" i="9" s="1"/>
  <c r="D64" i="9"/>
  <c r="J64" i="9" s="1"/>
  <c r="D65" i="9"/>
  <c r="J65" i="9" s="1"/>
  <c r="D67" i="9"/>
  <c r="J67" i="9" s="1"/>
  <c r="C69" i="9"/>
  <c r="D58" i="9"/>
  <c r="J58" i="9" s="1"/>
  <c r="H59" i="9"/>
  <c r="E60" i="9"/>
  <c r="H61" i="9"/>
  <c r="E62" i="9"/>
  <c r="H63" i="9"/>
  <c r="E64" i="9"/>
  <c r="E65" i="9"/>
  <c r="H66" i="9"/>
  <c r="E67" i="9"/>
  <c r="H68" i="9"/>
  <c r="D57" i="9"/>
  <c r="D59" i="9"/>
  <c r="J59" i="9" s="1"/>
  <c r="G60" i="9"/>
  <c r="D61" i="9"/>
  <c r="J61" i="9" s="1"/>
  <c r="G62" i="9"/>
  <c r="D63" i="9"/>
  <c r="J63" i="9" s="1"/>
  <c r="G64" i="9"/>
  <c r="G65" i="9"/>
  <c r="D66" i="9"/>
  <c r="J66" i="9" s="1"/>
  <c r="G67" i="9"/>
  <c r="G58" i="9"/>
  <c r="E59" i="9"/>
  <c r="H60" i="9"/>
  <c r="E61" i="9"/>
  <c r="H62" i="9"/>
  <c r="E63" i="9"/>
  <c r="H64" i="9"/>
  <c r="H65" i="9"/>
  <c r="E66" i="9"/>
  <c r="H67" i="9"/>
  <c r="H54" i="9"/>
  <c r="G54" i="9"/>
  <c r="D45" i="9"/>
  <c r="D47" i="9"/>
  <c r="D49" i="9"/>
  <c r="D50" i="9"/>
  <c r="D52" i="9"/>
  <c r="C54" i="9"/>
  <c r="D43" i="9"/>
  <c r="H44" i="9"/>
  <c r="E45" i="9"/>
  <c r="H46" i="9"/>
  <c r="E47" i="9"/>
  <c r="H48" i="9"/>
  <c r="E49" i="9"/>
  <c r="E50" i="9"/>
  <c r="H51" i="9"/>
  <c r="E52" i="9"/>
  <c r="H53" i="9"/>
  <c r="D48" i="9"/>
  <c r="D51" i="9"/>
  <c r="E44" i="9"/>
  <c r="H45" i="9"/>
  <c r="E46" i="9"/>
  <c r="H47" i="9"/>
  <c r="E48" i="9"/>
  <c r="H49" i="9"/>
  <c r="H50" i="9"/>
  <c r="E51" i="9"/>
  <c r="H52" i="9"/>
  <c r="C13" i="9"/>
  <c r="C24" i="9" s="1"/>
  <c r="D24" i="9" s="1"/>
  <c r="I24" i="9" s="1"/>
  <c r="G16" i="9"/>
  <c r="D23" i="9"/>
  <c r="I23" i="9" s="1"/>
  <c r="J23" i="9" s="1"/>
  <c r="D14" i="9"/>
  <c r="I14" i="9" s="1"/>
  <c r="J14" i="9" s="1"/>
  <c r="G15" i="9"/>
  <c r="D18" i="9"/>
  <c r="I18" i="9" s="1"/>
  <c r="J18" i="9" s="1"/>
  <c r="G19" i="9"/>
  <c r="D22" i="9"/>
  <c r="I22" i="9" s="1"/>
  <c r="J22" i="9" s="1"/>
  <c r="G14" i="9"/>
  <c r="G18" i="9"/>
  <c r="D21" i="9"/>
  <c r="I21" i="9" s="1"/>
  <c r="J21" i="9" s="1"/>
  <c r="I15" i="9"/>
  <c r="J15" i="9" s="1"/>
  <c r="I16" i="9"/>
  <c r="J16" i="9" s="1"/>
  <c r="I17" i="9"/>
  <c r="J17" i="9" s="1"/>
  <c r="I19" i="9"/>
  <c r="J19" i="9" s="1"/>
  <c r="J20" i="9"/>
  <c r="G20" i="9"/>
  <c r="G21" i="9"/>
  <c r="G22" i="9"/>
  <c r="G23" i="9"/>
  <c r="F13" i="9"/>
  <c r="H22" i="9" s="1"/>
  <c r="C25" i="8"/>
  <c r="C24" i="8"/>
  <c r="C23" i="8"/>
  <c r="C22" i="8"/>
  <c r="C20" i="8"/>
  <c r="C18" i="8"/>
  <c r="C17" i="8"/>
  <c r="C16" i="8"/>
  <c r="C15" i="8"/>
  <c r="C14" i="8"/>
  <c r="C13" i="8"/>
  <c r="C10" i="8"/>
  <c r="F25" i="8"/>
  <c r="F13" i="8"/>
  <c r="F24" i="8"/>
  <c r="F23" i="8"/>
  <c r="F22" i="8"/>
  <c r="F15" i="8"/>
  <c r="G15" i="8" s="1"/>
  <c r="F18" i="8"/>
  <c r="F17" i="8"/>
  <c r="G17" i="8" s="1"/>
  <c r="F16" i="8"/>
  <c r="F14" i="8"/>
  <c r="F10" i="8"/>
  <c r="G19" i="8"/>
  <c r="D13" i="9" l="1"/>
  <c r="I13" i="9" s="1"/>
  <c r="E19" i="9"/>
  <c r="E18" i="9"/>
  <c r="E14" i="9"/>
  <c r="E22" i="9"/>
  <c r="E16" i="9"/>
  <c r="E21" i="9"/>
  <c r="I44" i="9"/>
  <c r="I51" i="9"/>
  <c r="J51" i="9" s="1"/>
  <c r="I50" i="9"/>
  <c r="J50" i="9" s="1"/>
  <c r="I49" i="9"/>
  <c r="J49" i="9" s="1"/>
  <c r="H43" i="9"/>
  <c r="I45" i="9"/>
  <c r="J45" i="9" s="1"/>
  <c r="I46" i="9"/>
  <c r="J46" i="9" s="1"/>
  <c r="I48" i="9"/>
  <c r="J48" i="9" s="1"/>
  <c r="I52" i="9"/>
  <c r="J52" i="9" s="1"/>
  <c r="I47" i="9"/>
  <c r="J47" i="9" s="1"/>
  <c r="J39" i="9"/>
  <c r="E17" i="9"/>
  <c r="E15" i="9"/>
  <c r="E24" i="9"/>
  <c r="E23" i="9"/>
  <c r="E20" i="9"/>
  <c r="E69" i="9"/>
  <c r="D69" i="9"/>
  <c r="J69" i="9" s="1"/>
  <c r="E54" i="9"/>
  <c r="D54" i="9"/>
  <c r="H23" i="9"/>
  <c r="H20" i="9"/>
  <c r="H16" i="9"/>
  <c r="H14" i="9"/>
  <c r="G13" i="9"/>
  <c r="J13" i="9"/>
  <c r="F24" i="9"/>
  <c r="H19" i="9"/>
  <c r="H18" i="9"/>
  <c r="H17" i="9"/>
  <c r="H15" i="9"/>
  <c r="H21" i="9"/>
  <c r="D25" i="8"/>
  <c r="D16" i="8"/>
  <c r="I16" i="8" s="1"/>
  <c r="J16" i="8" s="1"/>
  <c r="D23" i="8"/>
  <c r="D14" i="8"/>
  <c r="I14" i="8" s="1"/>
  <c r="J14" i="8" s="1"/>
  <c r="D19" i="8"/>
  <c r="I19" i="8" s="1"/>
  <c r="J19" i="8" s="1"/>
  <c r="D22" i="8"/>
  <c r="D11" i="8"/>
  <c r="D17" i="8"/>
  <c r="I17" i="8" s="1"/>
  <c r="J17" i="8" s="1"/>
  <c r="D20" i="8"/>
  <c r="I20" i="8" s="1"/>
  <c r="J20" i="8" s="1"/>
  <c r="D24" i="8"/>
  <c r="D13" i="8"/>
  <c r="I13" i="8" s="1"/>
  <c r="J13" i="8" s="1"/>
  <c r="D18" i="8"/>
  <c r="I18" i="8" s="1"/>
  <c r="J18" i="8" s="1"/>
  <c r="D21" i="8"/>
  <c r="I21" i="8" s="1"/>
  <c r="J21" i="8" s="1"/>
  <c r="G14" i="8"/>
  <c r="F12" i="8"/>
  <c r="F26" i="8" s="1"/>
  <c r="H26" i="8" s="1"/>
  <c r="G21" i="8"/>
  <c r="G23" i="8"/>
  <c r="G25" i="8"/>
  <c r="G13" i="8"/>
  <c r="I22" i="8"/>
  <c r="J22" i="8" s="1"/>
  <c r="I24" i="8"/>
  <c r="J24" i="8" s="1"/>
  <c r="G11" i="8"/>
  <c r="G16" i="8"/>
  <c r="G18" i="8"/>
  <c r="G20" i="8"/>
  <c r="G22" i="8"/>
  <c r="G24" i="8"/>
  <c r="I23" i="8"/>
  <c r="J23" i="8" s="1"/>
  <c r="I25" i="8"/>
  <c r="J25" i="8" s="1"/>
  <c r="D15" i="8"/>
  <c r="I15" i="8" s="1"/>
  <c r="J15" i="8" s="1"/>
  <c r="C12" i="8"/>
  <c r="E15" i="8" s="1"/>
  <c r="I54" i="9" l="1"/>
  <c r="J54" i="9" s="1"/>
  <c r="I43" i="9"/>
  <c r="J44" i="9"/>
  <c r="J43" i="9" s="1"/>
  <c r="H24" i="9"/>
  <c r="G24" i="9"/>
  <c r="J24" i="9"/>
  <c r="H18" i="8"/>
  <c r="H19" i="8"/>
  <c r="H13" i="8"/>
  <c r="H16" i="8"/>
  <c r="H24" i="8"/>
  <c r="H14" i="8"/>
  <c r="H20" i="8"/>
  <c r="H25" i="8"/>
  <c r="H15" i="8"/>
  <c r="H21" i="8"/>
  <c r="H22" i="8"/>
  <c r="G26" i="8"/>
  <c r="G12" i="8"/>
  <c r="H17" i="8"/>
  <c r="H23" i="8"/>
  <c r="E25" i="8"/>
  <c r="E23" i="8"/>
  <c r="E21" i="8"/>
  <c r="E19" i="8"/>
  <c r="E17" i="8"/>
  <c r="E24" i="8"/>
  <c r="E18" i="8"/>
  <c r="C26" i="8"/>
  <c r="D12" i="8"/>
  <c r="I12" i="8" s="1"/>
  <c r="J12" i="8" s="1"/>
  <c r="E13" i="8"/>
  <c r="E22" i="8"/>
  <c r="E20" i="8"/>
  <c r="E16" i="8"/>
  <c r="E14" i="8"/>
  <c r="E26" i="8" l="1"/>
  <c r="D26" i="8"/>
  <c r="I26" i="8" s="1"/>
  <c r="J26" i="8" s="1"/>
  <c r="I30" i="7" l="1"/>
  <c r="O30" i="7" s="1"/>
  <c r="R33" i="7"/>
  <c r="O33" i="7"/>
  <c r="R32" i="7"/>
  <c r="O32" i="7"/>
  <c r="R31" i="7"/>
  <c r="O31" i="7"/>
  <c r="R30" i="7"/>
  <c r="AD29" i="7"/>
  <c r="R29" i="7"/>
  <c r="O29" i="7"/>
  <c r="AD28" i="7"/>
  <c r="R28" i="7"/>
  <c r="O28" i="7"/>
  <c r="AD27" i="7"/>
  <c r="R27" i="7"/>
  <c r="O27" i="7"/>
  <c r="AD26" i="7"/>
  <c r="R26" i="7"/>
  <c r="O26" i="7"/>
  <c r="AD25" i="7"/>
  <c r="R25" i="7"/>
  <c r="O25" i="7"/>
  <c r="V25" i="7" s="1"/>
  <c r="R24" i="7"/>
  <c r="O24" i="7"/>
  <c r="R23" i="7"/>
  <c r="O23" i="7"/>
  <c r="N22" i="7"/>
  <c r="M22" i="7"/>
  <c r="L22" i="7"/>
  <c r="K22" i="7"/>
  <c r="J22" i="7"/>
  <c r="H22" i="7"/>
  <c r="G22" i="7"/>
  <c r="F22" i="7"/>
  <c r="E22" i="7"/>
  <c r="D22" i="7"/>
  <c r="C22" i="7"/>
  <c r="R21" i="7"/>
  <c r="U21" i="7" s="1"/>
  <c r="O21" i="7"/>
  <c r="R20" i="7"/>
  <c r="U20" i="7" s="1"/>
  <c r="O20" i="7"/>
  <c r="R19" i="7"/>
  <c r="O19" i="7"/>
  <c r="U19" i="7" s="1"/>
  <c r="R18" i="7"/>
  <c r="O18" i="7"/>
  <c r="R17" i="7"/>
  <c r="O17" i="7"/>
  <c r="R16" i="7"/>
  <c r="O16" i="7"/>
  <c r="R15" i="7"/>
  <c r="O15" i="7"/>
  <c r="R14" i="7"/>
  <c r="O14" i="7"/>
  <c r="R13" i="7"/>
  <c r="O13" i="7"/>
  <c r="R12" i="7"/>
  <c r="U12" i="7" s="1"/>
  <c r="O12" i="7"/>
  <c r="R11" i="7"/>
  <c r="O11" i="7"/>
  <c r="N10" i="7"/>
  <c r="N34" i="7" s="1"/>
  <c r="M10" i="7"/>
  <c r="L10" i="7"/>
  <c r="K10" i="7"/>
  <c r="J10" i="7"/>
  <c r="J34" i="7" s="1"/>
  <c r="I10" i="7"/>
  <c r="H10" i="7"/>
  <c r="G10" i="7"/>
  <c r="F10" i="7"/>
  <c r="E10" i="7"/>
  <c r="E34" i="7" s="1"/>
  <c r="D10" i="7"/>
  <c r="D34" i="7" s="1"/>
  <c r="G34" i="7" l="1"/>
  <c r="U33" i="7"/>
  <c r="M34" i="7"/>
  <c r="U32" i="7"/>
  <c r="U26" i="7"/>
  <c r="P25" i="7"/>
  <c r="U25" i="7"/>
  <c r="S18" i="7"/>
  <c r="H34" i="7"/>
  <c r="L34" i="7"/>
  <c r="S31" i="7"/>
  <c r="R10" i="7"/>
  <c r="T17" i="7" s="1"/>
  <c r="U23" i="7"/>
  <c r="O22" i="7"/>
  <c r="P22" i="7" s="1"/>
  <c r="P33" i="7"/>
  <c r="F34" i="7"/>
  <c r="U27" i="7"/>
  <c r="U28" i="7"/>
  <c r="U29" i="7"/>
  <c r="U30" i="7"/>
  <c r="K34" i="7"/>
  <c r="U24" i="7"/>
  <c r="S26" i="7"/>
  <c r="S27" i="7"/>
  <c r="S28" i="7"/>
  <c r="S29" i="7"/>
  <c r="P31" i="7"/>
  <c r="S32" i="7"/>
  <c r="U17" i="7"/>
  <c r="S15" i="7"/>
  <c r="S14" i="7"/>
  <c r="S16" i="7"/>
  <c r="S13" i="7"/>
  <c r="P19" i="7"/>
  <c r="S21" i="7"/>
  <c r="U14" i="7"/>
  <c r="P14" i="7"/>
  <c r="U16" i="7"/>
  <c r="P16" i="7"/>
  <c r="P30" i="7"/>
  <c r="U18" i="7"/>
  <c r="P18" i="7"/>
  <c r="O10" i="7"/>
  <c r="Q14" i="7" s="1"/>
  <c r="U13" i="7"/>
  <c r="P13" i="7"/>
  <c r="U15" i="7"/>
  <c r="P15" i="7"/>
  <c r="P32" i="7"/>
  <c r="S20" i="7"/>
  <c r="P21" i="7"/>
  <c r="I22" i="7"/>
  <c r="I34" i="7" s="1"/>
  <c r="R22" i="7"/>
  <c r="T30" i="7" s="1"/>
  <c r="P26" i="7"/>
  <c r="P27" i="7"/>
  <c r="P28" i="7"/>
  <c r="P29" i="7"/>
  <c r="S30" i="7"/>
  <c r="C10" i="7"/>
  <c r="C34" i="7" s="1"/>
  <c r="U11" i="7"/>
  <c r="S17" i="7"/>
  <c r="S19" i="7"/>
  <c r="P20" i="7"/>
  <c r="S25" i="7"/>
  <c r="W25" i="7"/>
  <c r="U31" i="7"/>
  <c r="S33" i="7"/>
  <c r="P17" i="7"/>
  <c r="S26" i="6"/>
  <c r="S27" i="6"/>
  <c r="S28" i="6"/>
  <c r="S29" i="6"/>
  <c r="S30" i="6"/>
  <c r="S31" i="6"/>
  <c r="S32" i="6"/>
  <c r="S33" i="6"/>
  <c r="S25" i="6"/>
  <c r="S22" i="6"/>
  <c r="S14" i="6"/>
  <c r="S15" i="6"/>
  <c r="S16" i="6"/>
  <c r="S17" i="6"/>
  <c r="S18" i="6"/>
  <c r="S19" i="6"/>
  <c r="S20" i="6"/>
  <c r="S21" i="6"/>
  <c r="S13" i="6"/>
  <c r="S10" i="6"/>
  <c r="P26" i="6"/>
  <c r="P27" i="6"/>
  <c r="P28" i="6"/>
  <c r="P29" i="6"/>
  <c r="P30" i="6"/>
  <c r="P31" i="6"/>
  <c r="P32" i="6"/>
  <c r="P33" i="6"/>
  <c r="P25" i="6"/>
  <c r="P22" i="6"/>
  <c r="P10" i="6"/>
  <c r="P14" i="6"/>
  <c r="P15" i="6"/>
  <c r="P16" i="6"/>
  <c r="P17" i="6"/>
  <c r="P18" i="6"/>
  <c r="P19" i="6"/>
  <c r="P20" i="6"/>
  <c r="P21" i="6"/>
  <c r="P13" i="6"/>
  <c r="U10" i="6"/>
  <c r="U22" i="6"/>
  <c r="U34" i="6"/>
  <c r="Q14" i="6"/>
  <c r="Q15" i="6"/>
  <c r="Q16" i="6"/>
  <c r="Q17" i="6"/>
  <c r="Q18" i="6"/>
  <c r="Q19" i="6"/>
  <c r="Q20" i="6"/>
  <c r="Q21" i="6"/>
  <c r="Q13" i="6"/>
  <c r="C34" i="6"/>
  <c r="R24" i="6"/>
  <c r="R25" i="6"/>
  <c r="R26" i="6"/>
  <c r="R27" i="6"/>
  <c r="R28" i="6"/>
  <c r="R29" i="6"/>
  <c r="R30" i="6"/>
  <c r="R31" i="6"/>
  <c r="R32" i="6"/>
  <c r="R33" i="6"/>
  <c r="R23" i="6"/>
  <c r="O24" i="6"/>
  <c r="O25" i="6"/>
  <c r="O26" i="6"/>
  <c r="O27" i="6"/>
  <c r="O28" i="6"/>
  <c r="O29" i="6"/>
  <c r="O30" i="6"/>
  <c r="O31" i="6"/>
  <c r="O32" i="6"/>
  <c r="O33" i="6"/>
  <c r="O23" i="6"/>
  <c r="I30" i="6"/>
  <c r="I22" i="6" s="1"/>
  <c r="D22" i="6"/>
  <c r="E22" i="6"/>
  <c r="F22" i="6"/>
  <c r="G22" i="6"/>
  <c r="H22" i="6"/>
  <c r="J22" i="6"/>
  <c r="K22" i="6"/>
  <c r="L22" i="6"/>
  <c r="M22" i="6"/>
  <c r="N22" i="6"/>
  <c r="N34" i="6" s="1"/>
  <c r="C22" i="6"/>
  <c r="R10" i="6"/>
  <c r="T17" i="6" s="1"/>
  <c r="R12" i="6"/>
  <c r="R13" i="6"/>
  <c r="R14" i="6"/>
  <c r="R15" i="6"/>
  <c r="R16" i="6"/>
  <c r="R17" i="6"/>
  <c r="R18" i="6"/>
  <c r="R19" i="6"/>
  <c r="R20" i="6"/>
  <c r="R21" i="6"/>
  <c r="R11" i="6"/>
  <c r="O12" i="6"/>
  <c r="O13" i="6"/>
  <c r="O14" i="6"/>
  <c r="O15" i="6"/>
  <c r="O16" i="6"/>
  <c r="O10" i="6" s="1"/>
  <c r="O17" i="6"/>
  <c r="O18" i="6"/>
  <c r="O19" i="6"/>
  <c r="O20" i="6"/>
  <c r="O21" i="6"/>
  <c r="O11" i="6"/>
  <c r="C18" i="6"/>
  <c r="C10" i="6" s="1"/>
  <c r="N10" i="6"/>
  <c r="D10" i="6"/>
  <c r="D34" i="6" s="1"/>
  <c r="E10" i="6"/>
  <c r="E34" i="6" s="1"/>
  <c r="F10" i="6"/>
  <c r="F34" i="6" s="1"/>
  <c r="G10" i="6"/>
  <c r="G34" i="6" s="1"/>
  <c r="H10" i="6"/>
  <c r="H34" i="6" s="1"/>
  <c r="I10" i="6"/>
  <c r="I34" i="6" s="1"/>
  <c r="J10" i="6"/>
  <c r="K10" i="6"/>
  <c r="K34" i="6" s="1"/>
  <c r="L10" i="6"/>
  <c r="M10" i="6"/>
  <c r="M34" i="6" s="1"/>
  <c r="K18" i="6"/>
  <c r="K16" i="6"/>
  <c r="K15" i="6"/>
  <c r="K14" i="6"/>
  <c r="K13" i="6"/>
  <c r="K11" i="6"/>
  <c r="AD29" i="6"/>
  <c r="AD28" i="6"/>
  <c r="AD27" i="6"/>
  <c r="AD26" i="6"/>
  <c r="AD25" i="6"/>
  <c r="V25" i="6"/>
  <c r="Q31" i="7" l="1"/>
  <c r="Q26" i="7"/>
  <c r="Q33" i="7"/>
  <c r="Q30" i="7"/>
  <c r="Q29" i="7"/>
  <c r="Q28" i="7"/>
  <c r="Q27" i="7"/>
  <c r="Q25" i="7"/>
  <c r="Q32" i="7"/>
  <c r="T21" i="7"/>
  <c r="T16" i="7"/>
  <c r="T19" i="7"/>
  <c r="S10" i="7"/>
  <c r="T14" i="7"/>
  <c r="T18" i="7"/>
  <c r="T13" i="7"/>
  <c r="T20" i="7"/>
  <c r="T15" i="7"/>
  <c r="U22" i="7"/>
  <c r="T25" i="7"/>
  <c r="Q15" i="7"/>
  <c r="Q16" i="7"/>
  <c r="Q20" i="7"/>
  <c r="U10" i="7"/>
  <c r="T28" i="7"/>
  <c r="T27" i="7"/>
  <c r="T26" i="7"/>
  <c r="S22" i="7"/>
  <c r="T31" i="7"/>
  <c r="T29" i="7"/>
  <c r="T32" i="7"/>
  <c r="Q13" i="7"/>
  <c r="T33" i="7"/>
  <c r="Q18" i="7"/>
  <c r="P10" i="7"/>
  <c r="O34" i="7"/>
  <c r="Q19" i="7"/>
  <c r="Q17" i="7"/>
  <c r="Q21" i="7"/>
  <c r="R34" i="7"/>
  <c r="L34" i="6"/>
  <c r="J34" i="6"/>
  <c r="T16" i="6"/>
  <c r="T19" i="6"/>
  <c r="T15" i="6"/>
  <c r="T13" i="6"/>
  <c r="T18" i="6"/>
  <c r="T14" i="6"/>
  <c r="T20" i="6"/>
  <c r="T21" i="6"/>
  <c r="R22" i="6"/>
  <c r="R34" i="6" s="1"/>
  <c r="U23" i="6"/>
  <c r="U31" i="6"/>
  <c r="U29" i="6"/>
  <c r="U32" i="6"/>
  <c r="U33" i="6"/>
  <c r="U27" i="6"/>
  <c r="O22" i="6"/>
  <c r="U24" i="6"/>
  <c r="U25" i="6"/>
  <c r="U26" i="6"/>
  <c r="U28" i="6"/>
  <c r="U30" i="6"/>
  <c r="W25" i="6"/>
  <c r="U19" i="6"/>
  <c r="U34" i="7" l="1"/>
  <c r="T27" i="6"/>
  <c r="T31" i="6"/>
  <c r="T30" i="6"/>
  <c r="T28" i="6"/>
  <c r="T32" i="6"/>
  <c r="T25" i="6"/>
  <c r="T29" i="6"/>
  <c r="T33" i="6"/>
  <c r="T26" i="6"/>
  <c r="Q26" i="6"/>
  <c r="Q30" i="6"/>
  <c r="Q25" i="6"/>
  <c r="Q33" i="6"/>
  <c r="Q27" i="6"/>
  <c r="Q31" i="6"/>
  <c r="Q28" i="6"/>
  <c r="Q32" i="6"/>
  <c r="O34" i="6"/>
  <c r="Q29" i="6"/>
  <c r="U11" i="6"/>
  <c r="U21" i="6"/>
  <c r="U14" i="6"/>
  <c r="U18" i="6"/>
  <c r="U12" i="6"/>
  <c r="U16" i="6"/>
  <c r="U17" i="6"/>
  <c r="U15" i="6"/>
  <c r="U20" i="6"/>
  <c r="U13" i="6"/>
  <c r="M16" i="5"/>
  <c r="M17" i="5"/>
  <c r="M10" i="5"/>
  <c r="J21" i="5"/>
  <c r="H21" i="5"/>
  <c r="G21" i="5"/>
  <c r="F21" i="5"/>
  <c r="E21" i="5"/>
  <c r="D21" i="5"/>
  <c r="C21" i="5"/>
  <c r="L20" i="5"/>
  <c r="M20" i="5" s="1"/>
  <c r="K20" i="5"/>
  <c r="L19" i="5"/>
  <c r="M19" i="5" s="1"/>
  <c r="K19" i="5"/>
  <c r="L18" i="5"/>
  <c r="M18" i="5" s="1"/>
  <c r="K18" i="5"/>
  <c r="L17" i="5"/>
  <c r="K17" i="5"/>
  <c r="V16" i="5"/>
  <c r="L16" i="5"/>
  <c r="K16" i="5"/>
  <c r="V15" i="5"/>
  <c r="L15" i="5"/>
  <c r="M15" i="5" s="1"/>
  <c r="K15" i="5"/>
  <c r="V14" i="5"/>
  <c r="L14" i="5"/>
  <c r="M14" i="5" s="1"/>
  <c r="K14" i="5"/>
  <c r="I21" i="5"/>
  <c r="V13" i="5"/>
  <c r="L13" i="5"/>
  <c r="K13" i="5"/>
  <c r="M13" i="5" s="1"/>
  <c r="V12" i="5"/>
  <c r="L12" i="5"/>
  <c r="K12" i="5"/>
  <c r="L11" i="5"/>
  <c r="M11" i="5" s="1"/>
  <c r="K11" i="5"/>
  <c r="L10" i="5"/>
  <c r="K10" i="5"/>
  <c r="M12" i="5" l="1"/>
  <c r="O12" i="5"/>
  <c r="K21" i="5"/>
  <c r="N12" i="5" s="1"/>
  <c r="L21" i="5"/>
  <c r="M11" i="4"/>
  <c r="M17" i="4"/>
  <c r="M10" i="4"/>
  <c r="L11" i="4"/>
  <c r="L14" i="4"/>
  <c r="M14" i="4" s="1"/>
  <c r="L17" i="4"/>
  <c r="L28" i="4" s="1"/>
  <c r="L18" i="4"/>
  <c r="M18" i="4" s="1"/>
  <c r="L19" i="4"/>
  <c r="L20" i="4"/>
  <c r="L10" i="4"/>
  <c r="H13" i="4"/>
  <c r="H14" i="4"/>
  <c r="H15" i="4"/>
  <c r="H16" i="4"/>
  <c r="J13" i="4"/>
  <c r="J14" i="4"/>
  <c r="J15" i="4"/>
  <c r="J16" i="4"/>
  <c r="F13" i="4"/>
  <c r="F14" i="4"/>
  <c r="F15" i="4"/>
  <c r="F16" i="4"/>
  <c r="D13" i="4"/>
  <c r="L13" i="4" s="1"/>
  <c r="M13" i="4" s="1"/>
  <c r="D14" i="4"/>
  <c r="D15" i="4"/>
  <c r="L15" i="4" s="1"/>
  <c r="M15" i="4" s="1"/>
  <c r="D16" i="4"/>
  <c r="L16" i="4" s="1"/>
  <c r="M16" i="4" s="1"/>
  <c r="G21" i="4"/>
  <c r="E21" i="4"/>
  <c r="C21" i="4"/>
  <c r="K20" i="4"/>
  <c r="M20" i="4" s="1"/>
  <c r="K19" i="4"/>
  <c r="M19" i="4" s="1"/>
  <c r="K18" i="4"/>
  <c r="K17" i="4"/>
  <c r="V16" i="4"/>
  <c r="K16" i="4"/>
  <c r="V15" i="4"/>
  <c r="K15" i="4"/>
  <c r="V14" i="4"/>
  <c r="I14" i="4"/>
  <c r="K14" i="4" s="1"/>
  <c r="V13" i="4"/>
  <c r="K13" i="4"/>
  <c r="V12" i="4"/>
  <c r="K12" i="4"/>
  <c r="K11" i="4"/>
  <c r="K10" i="4"/>
  <c r="M21" i="2"/>
  <c r="X13" i="2"/>
  <c r="X14" i="2"/>
  <c r="X15" i="2"/>
  <c r="X16" i="2"/>
  <c r="X12" i="2"/>
  <c r="K21" i="4" l="1"/>
  <c r="I21" i="4"/>
  <c r="M21" i="5" l="1"/>
  <c r="L11" i="2"/>
  <c r="N11" i="2" s="1"/>
  <c r="L12" i="2"/>
  <c r="L13" i="2"/>
  <c r="L14" i="2"/>
  <c r="L15" i="2"/>
  <c r="L16" i="2"/>
  <c r="L17" i="2"/>
  <c r="L18" i="2"/>
  <c r="N18" i="2" s="1"/>
  <c r="O18" i="2" s="1"/>
  <c r="L19" i="2"/>
  <c r="N19" i="2" s="1"/>
  <c r="L20" i="2"/>
  <c r="N20" i="2" s="1"/>
  <c r="K11" i="2"/>
  <c r="K12" i="2"/>
  <c r="K13" i="2"/>
  <c r="K15" i="2"/>
  <c r="K16" i="2"/>
  <c r="K17" i="2"/>
  <c r="K18" i="2"/>
  <c r="K19" i="2"/>
  <c r="K20" i="2"/>
  <c r="L10" i="2"/>
  <c r="N10" i="2" s="1"/>
  <c r="K10" i="2"/>
  <c r="J21" i="2"/>
  <c r="H21" i="2"/>
  <c r="G21" i="2"/>
  <c r="F21" i="2"/>
  <c r="E21" i="2"/>
  <c r="D21" i="2"/>
  <c r="C21" i="2"/>
  <c r="I14" i="2"/>
  <c r="I21" i="2" s="1"/>
  <c r="M25" i="2" l="1"/>
  <c r="N14" i="2"/>
  <c r="O14" i="2" s="1"/>
  <c r="M24" i="2"/>
  <c r="N13" i="2"/>
  <c r="O13" i="2" s="1"/>
  <c r="K14" i="2"/>
  <c r="K21" i="2" s="1"/>
  <c r="O20" i="2"/>
  <c r="M27" i="2"/>
  <c r="N16" i="2"/>
  <c r="O16" i="2" s="1"/>
  <c r="N12" i="2"/>
  <c r="M23" i="2"/>
  <c r="L21" i="2"/>
  <c r="M28" i="2"/>
  <c r="N17" i="2"/>
  <c r="O17" i="2" s="1"/>
  <c r="O10" i="2"/>
  <c r="O19" i="2"/>
  <c r="M26" i="2"/>
  <c r="N15" i="2"/>
  <c r="O15" i="2" s="1"/>
  <c r="O11" i="2"/>
  <c r="E23" i="1"/>
  <c r="G23" i="1" s="1"/>
  <c r="O12" i="2" l="1"/>
  <c r="N21" i="2"/>
  <c r="P17" i="2" l="1"/>
  <c r="O21" i="2"/>
  <c r="N21" i="1"/>
  <c r="O21" i="1"/>
  <c r="P21" i="1"/>
  <c r="Q21" i="1"/>
  <c r="R21" i="1"/>
  <c r="S21" i="1"/>
  <c r="R14" i="1"/>
  <c r="E24" i="1" s="1"/>
  <c r="G24" i="1" s="1"/>
  <c r="G25" i="1" s="1"/>
  <c r="E21" i="1"/>
  <c r="F21" i="1"/>
  <c r="G21" i="1"/>
  <c r="H21" i="1"/>
  <c r="I21" i="1"/>
  <c r="J21" i="1"/>
  <c r="K21" i="1"/>
  <c r="L21" i="1"/>
  <c r="M21" i="1"/>
  <c r="T21" i="1"/>
  <c r="V21" i="1"/>
  <c r="D21" i="1"/>
  <c r="C21" i="1"/>
  <c r="F12" i="4"/>
  <c r="F21" i="4" s="1"/>
  <c r="H12" i="4"/>
  <c r="H21" i="4" s="1"/>
  <c r="D12" i="4"/>
  <c r="J12" i="4"/>
  <c r="J21" i="4" s="1"/>
  <c r="D21" i="4" l="1"/>
  <c r="L12" i="4"/>
  <c r="M12" i="4" l="1"/>
  <c r="N17" i="4" s="1"/>
  <c r="L21" i="4"/>
  <c r="M21" i="4" l="1"/>
</calcChain>
</file>

<file path=xl/sharedStrings.xml><?xml version="1.0" encoding="utf-8"?>
<sst xmlns="http://schemas.openxmlformats.org/spreadsheetml/2006/main" count="363" uniqueCount="114">
  <si>
    <t>SỞ Y TẾ NGHỆ AN</t>
  </si>
  <si>
    <t>TRUNG TÂM Y TẾ HUYỆN QUỲ CHÂU</t>
  </si>
  <si>
    <t>BẢNG SO SÁNH TỶ LỆ KCB BHYT NĂM 2017</t>
  </si>
  <si>
    <t>TT</t>
  </si>
  <si>
    <t>TÊN CHI PHÍ</t>
  </si>
  <si>
    <t>KHOA ĐIỀU TRỊ</t>
  </si>
  <si>
    <t>Khoa khám bệnh</t>
  </si>
  <si>
    <t>Khoa YHCT</t>
  </si>
  <si>
    <t>Khoa Nội - nhi - lây</t>
  </si>
  <si>
    <t>Khoa Ngoại sản</t>
  </si>
  <si>
    <t>Chênh lệch</t>
  </si>
  <si>
    <t>Số lượt</t>
  </si>
  <si>
    <t>Số ngày điều trị</t>
  </si>
  <si>
    <t>Xét nghiệm</t>
  </si>
  <si>
    <t>CĐHA, TDCN</t>
  </si>
  <si>
    <t>Thuốc</t>
  </si>
  <si>
    <t>Máu</t>
  </si>
  <si>
    <t>TT-PT</t>
  </si>
  <si>
    <t>VTYT</t>
  </si>
  <si>
    <t>Tiền khám</t>
  </si>
  <si>
    <t>Tiền giường</t>
  </si>
  <si>
    <t>Quyết toán</t>
  </si>
  <si>
    <t>xuất toán</t>
  </si>
  <si>
    <t>Tổng cộng:</t>
  </si>
  <si>
    <t>Vận chuyển</t>
  </si>
  <si>
    <t>Năm 2017</t>
  </si>
  <si>
    <t>Năm 2016</t>
  </si>
  <si>
    <t>Chênh lệch giá</t>
  </si>
  <si>
    <t>Quyết toán DVKT</t>
  </si>
  <si>
    <t>Tổng cộng</t>
  </si>
  <si>
    <t>Giá đã có cơ cấu tiền lương</t>
  </si>
  <si>
    <t>Chênh lệch giá T3-T7</t>
  </si>
  <si>
    <t>Theo giá Tháng 3 ( chưa có cơ cấu tiền lương )</t>
  </si>
  <si>
    <t>chênh lệch DVKT</t>
  </si>
  <si>
    <t>BẢNG SO SÁNH TỶ LỆ KCB BHYT GIỮA NĂM 2017 VÀ 2016</t>
  </si>
  <si>
    <t>11=3+5+7+9</t>
  </si>
  <si>
    <t>14=12-13</t>
  </si>
  <si>
    <t>15=14-11</t>
  </si>
  <si>
    <t>chênh lệch 2017-2016</t>
  </si>
  <si>
    <t>CÁC KHOA ĐIỀU TRỊ</t>
  </si>
  <si>
    <t>BẢNG SO SÁNH TỶ LỆ KCB BHYT GIỮA NĂM 2018 VÀ 2017</t>
  </si>
  <si>
    <t>12=4+6+8+10</t>
  </si>
  <si>
    <t>13=12-11</t>
  </si>
  <si>
    <t>chênh lệch 2018-2017</t>
  </si>
  <si>
    <t>I</t>
  </si>
  <si>
    <t>KCB Ngoại Trú</t>
  </si>
  <si>
    <t>II</t>
  </si>
  <si>
    <t>KCB Nội Trú</t>
  </si>
  <si>
    <t>Khoa CSSKSS</t>
  </si>
  <si>
    <t>ARV -Methadol</t>
  </si>
  <si>
    <t>Khoa Ngoại TH</t>
  </si>
  <si>
    <t>BẢNG SO SÁNH TỶ LỆ KCB BHYT GIỮA THÁNG 7 NĂM 2019 VÀ THÁNG 7 NĂM 2020</t>
  </si>
  <si>
    <t>Tỷ lệ</t>
  </si>
  <si>
    <t>chênh lệch 2020-2019</t>
  </si>
  <si>
    <t>Tổng cộng( I+II):</t>
  </si>
  <si>
    <t>Tháng 7.2019</t>
  </si>
  <si>
    <t>Tháng 7.2020</t>
  </si>
  <si>
    <t>Đơn điều trị bình quân T7.2019</t>
  </si>
  <si>
    <t>Đơn điều trị bình quân T7 2020</t>
  </si>
  <si>
    <t>15=3+5+7+9+11+13</t>
  </si>
  <si>
    <t>18=4+6+8+10+12+14</t>
  </si>
  <si>
    <t>21=19-16</t>
  </si>
  <si>
    <t>Tháng 9.2019</t>
  </si>
  <si>
    <t>Tháng 9.2020</t>
  </si>
  <si>
    <t>Đơn điều trị bình quân T9 2020</t>
  </si>
  <si>
    <t>Đơn điều trị bình quân T9.2019</t>
  </si>
  <si>
    <t>BẢNG SO SÁNH TỶ LỆ KCB BHYT GIỮA THÁNG 9 NĂM 2020 VÀ THÁNG 9 NĂM 2019</t>
  </si>
  <si>
    <t>TRUNG TÂM Y TẾ QUỲ CHÂU</t>
  </si>
  <si>
    <t>BẢNG PHÂN TÍCH SỐ LIỆU  KCB NGOẠI TRÚ TẠI TTYT QUỲ CHÂU</t>
  </si>
  <si>
    <t>Nội dung</t>
  </si>
  <si>
    <t>CÁC LÝ DO TĂNG</t>
  </si>
  <si>
    <t>Nhóm chi phí</t>
  </si>
  <si>
    <t>Tổng chi phí</t>
  </si>
  <si>
    <t>Bình quân
chi phí</t>
  </si>
  <si>
    <t>%</t>
  </si>
  <si>
    <t>Tăng do bệnh nhân</t>
  </si>
  <si>
    <t>Tăng do chỉ định</t>
  </si>
  <si>
    <t>Số lượt KCB</t>
  </si>
  <si>
    <t>Tổng chi phí( = 4+…+15)</t>
  </si>
  <si>
    <t>Tiền Xét nghiệm</t>
  </si>
  <si>
    <t>Tiền CĐHA,, TDCN</t>
  </si>
  <si>
    <t>Tiền thuốc, Dịch truyền</t>
  </si>
  <si>
    <t>Tiền Máu</t>
  </si>
  <si>
    <t>Tiền PT-TT</t>
  </si>
  <si>
    <t>Tiền VTYT</t>
  </si>
  <si>
    <t>Tiền DVKT</t>
  </si>
  <si>
    <t>Thuốc tỷ lệ</t>
  </si>
  <si>
    <t>Vtyt tỷ lệ</t>
  </si>
  <si>
    <t>Tiền công khám</t>
  </si>
  <si>
    <t>Tiền giường điều trị</t>
  </si>
  <si>
    <t>Tiền Vận chuyển</t>
  </si>
  <si>
    <t>Tiền Bệnh nhân chi trả</t>
  </si>
  <si>
    <t>Tiền Bảo hiểm thanh toán</t>
  </si>
  <si>
    <t>Từ: 01/01/2020 đến 30/09/2020</t>
  </si>
  <si>
    <t>9 tháng đầu năm 2019</t>
  </si>
  <si>
    <t>9 tháng đầu năm 2020</t>
  </si>
  <si>
    <t>Trung tâm y tế</t>
  </si>
  <si>
    <t>I.1</t>
  </si>
  <si>
    <t>KCB Ngoại trú</t>
  </si>
  <si>
    <t>KCB Nội trú</t>
  </si>
  <si>
    <t>Trạm y tế</t>
  </si>
  <si>
    <t>KCB điều trị Ngoại trú</t>
  </si>
  <si>
    <t>Tổng CP đề nghị quỹ BH thanh toán:</t>
  </si>
  <si>
    <t>Tổng  mức thanh toán năm 2020</t>
  </si>
  <si>
    <t>Quỹ còn lại sử dụng quý 4/2020</t>
  </si>
  <si>
    <t>Dự kiến giảm</t>
  </si>
  <si>
    <t>Dự kiến Tăng</t>
  </si>
  <si>
    <t>Đơn BQ cao hơn năm 2019</t>
  </si>
  <si>
    <t>Giảm BQ/ đơn</t>
  </si>
  <si>
    <t>Tăng BQ/ đơn</t>
  </si>
  <si>
    <t>Ghi chú</t>
  </si>
  <si>
    <t>Phải tăng BQ trên đợt điều trị</t>
  </si>
  <si>
    <t>Phải giảm BQ trên đợt điều trị</t>
  </si>
  <si>
    <t xml:space="preserve">Phải giảm đơn BQ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</si>
</sst>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_);_(* \(#,##0\);_(* &quot;-&quot;??_);_(@_)"/>
    <numFmt numFmtId="166" formatCode="###\ ###\ ###\ ###"/>
    <numFmt numFmtId="167" formatCode="0.0%"/>
    <numFmt numFmtId="168" formatCode="0.0"/>
    <numFmt numFmtId="169" formatCode="_-* #,##0\ _₫_-;\-* #,##0\ _₫_-;_-* &quot;-&quot;??\ _₫_-;_-@_-"/>
  </numFmts>
  <fonts count="42" x14ac:knownFonts="1">
    <font>
      <sz val="11"/>
      <color theme="1"/>
      <name val="Arial"/>
      <family val="2"/>
      <scheme val="minor"/>
    </font>
    <font>
      <sz val="14"/>
      <color theme="1"/>
      <name val="Times New Roman"/>
      <family val="2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8.5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name val="Times New Roman"/>
      <family val="1"/>
    </font>
    <font>
      <b/>
      <i/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i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  <scheme val="major"/>
    </font>
    <font>
      <b/>
      <sz val="12"/>
      <name val="Times New Roman"/>
      <family val="1"/>
    </font>
    <font>
      <b/>
      <sz val="12"/>
      <name val=".VnTime"/>
      <family val="2"/>
    </font>
    <font>
      <b/>
      <sz val="10"/>
      <name val="Times New Roman"/>
      <family val="1"/>
    </font>
    <font>
      <sz val="11"/>
      <color theme="1"/>
      <name val="Times New Roman"/>
      <family val="1"/>
      <scheme val="major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0"/>
      <name val="Times New Roman"/>
      <family val="1"/>
      <charset val="163"/>
    </font>
    <font>
      <sz val="11"/>
      <color theme="1"/>
      <name val="Times New Roman"/>
      <family val="1"/>
      <charset val="163"/>
      <scheme val="major"/>
    </font>
    <font>
      <sz val="10"/>
      <name val="Times New Roman"/>
      <family val="1"/>
      <charset val="163"/>
    </font>
    <font>
      <b/>
      <sz val="10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sz val="11"/>
      <color rgb="FFFF0000"/>
      <name val="Arial"/>
      <family val="2"/>
      <charset val="163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charset val="163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3" fillId="0" borderId="0"/>
    <xf numFmtId="0" fontId="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164" fontId="6" fillId="0" borderId="1" xfId="0" applyNumberFormat="1" applyFont="1" applyBorder="1"/>
    <xf numFmtId="164" fontId="2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9" fillId="2" borderId="0" xfId="0" applyNumberFormat="1" applyFont="1" applyFill="1"/>
    <xf numFmtId="164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/>
    <xf numFmtId="0" fontId="9" fillId="2" borderId="0" xfId="0" applyFont="1" applyFill="1"/>
    <xf numFmtId="164" fontId="7" fillId="0" borderId="1" xfId="0" applyNumberFormat="1" applyFont="1" applyBorder="1"/>
    <xf numFmtId="164" fontId="7" fillId="2" borderId="1" xfId="0" applyNumberFormat="1" applyFont="1" applyFill="1" applyBorder="1"/>
    <xf numFmtId="164" fontId="5" fillId="0" borderId="0" xfId="0" applyNumberFormat="1" applyFont="1" applyFill="1"/>
    <xf numFmtId="0" fontId="3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/>
    <xf numFmtId="0" fontId="3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/>
    <xf numFmtId="164" fontId="6" fillId="3" borderId="1" xfId="0" applyNumberFormat="1" applyFont="1" applyFill="1" applyBorder="1"/>
    <xf numFmtId="164" fontId="6" fillId="4" borderId="1" xfId="0" applyNumberFormat="1" applyFont="1" applyFill="1" applyBorder="1"/>
    <xf numFmtId="164" fontId="6" fillId="6" borderId="1" xfId="0" applyNumberFormat="1" applyFont="1" applyFill="1" applyBorder="1"/>
    <xf numFmtId="164" fontId="6" fillId="5" borderId="1" xfId="0" applyNumberFormat="1" applyFont="1" applyFill="1" applyBorder="1"/>
    <xf numFmtId="0" fontId="10" fillId="2" borderId="0" xfId="0" applyFont="1" applyFill="1"/>
    <xf numFmtId="164" fontId="10" fillId="2" borderId="0" xfId="0" applyNumberFormat="1" applyFont="1" applyFill="1"/>
    <xf numFmtId="164" fontId="11" fillId="3" borderId="1" xfId="0" applyNumberFormat="1" applyFont="1" applyFill="1" applyBorder="1"/>
    <xf numFmtId="165" fontId="11" fillId="3" borderId="1" xfId="0" applyNumberFormat="1" applyFont="1" applyFill="1" applyBorder="1"/>
    <xf numFmtId="164" fontId="11" fillId="4" borderId="1" xfId="0" applyNumberFormat="1" applyFont="1" applyFill="1" applyBorder="1"/>
    <xf numFmtId="165" fontId="11" fillId="4" borderId="1" xfId="0" applyNumberFormat="1" applyFont="1" applyFill="1" applyBorder="1"/>
    <xf numFmtId="164" fontId="11" fillId="6" borderId="1" xfId="0" applyNumberFormat="1" applyFont="1" applyFill="1" applyBorder="1"/>
    <xf numFmtId="165" fontId="11" fillId="6" borderId="1" xfId="0" applyNumberFormat="1" applyFont="1" applyFill="1" applyBorder="1"/>
    <xf numFmtId="164" fontId="11" fillId="5" borderId="1" xfId="0" applyNumberFormat="1" applyFont="1" applyFill="1" applyBorder="1"/>
    <xf numFmtId="165" fontId="11" fillId="5" borderId="1" xfId="0" applyNumberFormat="1" applyFont="1" applyFill="1" applyBorder="1"/>
    <xf numFmtId="164" fontId="11" fillId="0" borderId="1" xfId="0" applyNumberFormat="1" applyFont="1" applyBorder="1"/>
    <xf numFmtId="164" fontId="11" fillId="2" borderId="1" xfId="0" applyNumberFormat="1" applyFont="1" applyFill="1" applyBorder="1"/>
    <xf numFmtId="0" fontId="3" fillId="5" borderId="2" xfId="0" applyFont="1" applyFill="1" applyBorder="1" applyAlignment="1">
      <alignment horizontal="center" vertical="center"/>
    </xf>
    <xf numFmtId="164" fontId="7" fillId="7" borderId="1" xfId="0" applyNumberFormat="1" applyFont="1" applyFill="1" applyBorder="1"/>
    <xf numFmtId="0" fontId="3" fillId="7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164" fontId="19" fillId="4" borderId="1" xfId="0" applyNumberFormat="1" applyFont="1" applyFill="1" applyBorder="1" applyAlignment="1">
      <alignment vertical="center"/>
    </xf>
    <xf numFmtId="2" fontId="19" fillId="4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164" fontId="21" fillId="7" borderId="1" xfId="0" applyNumberFormat="1" applyFont="1" applyFill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2" fontId="21" fillId="7" borderId="1" xfId="0" applyNumberFormat="1" applyFont="1" applyFill="1" applyBorder="1" applyAlignment="1">
      <alignment vertical="center"/>
    </xf>
    <xf numFmtId="164" fontId="19" fillId="7" borderId="1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0" fontId="23" fillId="0" borderId="0" xfId="1"/>
    <xf numFmtId="0" fontId="27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3" fillId="0" borderId="0" xfId="1" applyAlignment="1">
      <alignment horizontal="center" vertical="center"/>
    </xf>
    <xf numFmtId="0" fontId="23" fillId="9" borderId="1" xfId="1" applyFill="1" applyBorder="1"/>
    <xf numFmtId="0" fontId="28" fillId="9" borderId="2" xfId="1" applyFont="1" applyFill="1" applyBorder="1" applyAlignment="1">
      <alignment horizontal="left"/>
    </xf>
    <xf numFmtId="0" fontId="28" fillId="9" borderId="4" xfId="1" applyFont="1" applyFill="1" applyBorder="1" applyAlignment="1">
      <alignment horizontal="left"/>
    </xf>
    <xf numFmtId="0" fontId="28" fillId="9" borderId="3" xfId="1" applyFont="1" applyFill="1" applyBorder="1" applyAlignment="1">
      <alignment horizontal="left"/>
    </xf>
    <xf numFmtId="0" fontId="23" fillId="9" borderId="0" xfId="1" applyFill="1"/>
    <xf numFmtId="0" fontId="23" fillId="0" borderId="1" xfId="1" applyBorder="1" applyAlignment="1">
      <alignment vertical="center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 wrapText="1"/>
    </xf>
    <xf numFmtId="166" fontId="23" fillId="0" borderId="0" xfId="1" applyNumberFormat="1" applyAlignment="1">
      <alignment vertical="center"/>
    </xf>
    <xf numFmtId="0" fontId="23" fillId="0" borderId="0" xfId="1" applyAlignment="1">
      <alignment vertical="center"/>
    </xf>
    <xf numFmtId="0" fontId="31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166" fontId="32" fillId="0" borderId="1" xfId="1" applyNumberFormat="1" applyFont="1" applyBorder="1" applyAlignment="1">
      <alignment horizontal="center" vertical="center"/>
    </xf>
    <xf numFmtId="166" fontId="32" fillId="0" borderId="1" xfId="1" applyNumberFormat="1" applyFont="1" applyBorder="1" applyAlignment="1">
      <alignment horizontal="right" vertical="center"/>
    </xf>
    <xf numFmtId="167" fontId="32" fillId="0" borderId="1" xfId="1" applyNumberFormat="1" applyFont="1" applyBorder="1" applyAlignment="1">
      <alignment horizontal="right" vertical="center"/>
    </xf>
    <xf numFmtId="168" fontId="32" fillId="0" borderId="1" xfId="1" applyNumberFormat="1" applyFont="1" applyBorder="1" applyAlignment="1">
      <alignment horizontal="right" vertical="center"/>
    </xf>
    <xf numFmtId="169" fontId="30" fillId="0" borderId="1" xfId="3" applyNumberFormat="1" applyFont="1" applyBorder="1" applyAlignment="1" applyProtection="1">
      <alignment horizontal="right" vertical="center"/>
    </xf>
    <xf numFmtId="166" fontId="30" fillId="0" borderId="1" xfId="1" applyNumberFormat="1" applyFont="1" applyBorder="1" applyAlignment="1">
      <alignment horizontal="right" vertical="center"/>
    </xf>
    <xf numFmtId="169" fontId="32" fillId="0" borderId="1" xfId="3" applyNumberFormat="1" applyFont="1" applyBorder="1" applyAlignment="1" applyProtection="1">
      <alignment horizontal="right" vertical="center"/>
    </xf>
    <xf numFmtId="166" fontId="32" fillId="2" borderId="1" xfId="1" applyNumberFormat="1" applyFont="1" applyFill="1" applyBorder="1" applyAlignment="1">
      <alignment horizontal="right" vertical="center"/>
    </xf>
    <xf numFmtId="0" fontId="30" fillId="0" borderId="1" xfId="1" applyFont="1" applyBorder="1" applyAlignment="1">
      <alignment horizontal="left" vertical="center"/>
    </xf>
    <xf numFmtId="0" fontId="23" fillId="0" borderId="1" xfId="1" applyBorder="1" applyAlignment="1">
      <alignment horizontal="center" vertical="center"/>
    </xf>
    <xf numFmtId="166" fontId="30" fillId="0" borderId="1" xfId="1" applyNumberFormat="1" applyFont="1" applyBorder="1" applyAlignment="1">
      <alignment horizontal="center" vertical="center"/>
    </xf>
    <xf numFmtId="167" fontId="30" fillId="0" borderId="1" xfId="1" applyNumberFormat="1" applyFont="1" applyBorder="1" applyAlignment="1">
      <alignment horizontal="right" vertical="center"/>
    </xf>
    <xf numFmtId="0" fontId="23" fillId="2" borderId="1" xfId="1" applyFill="1" applyBorder="1" applyAlignment="1">
      <alignment horizontal="center" vertical="center"/>
    </xf>
    <xf numFmtId="0" fontId="30" fillId="2" borderId="1" xfId="1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center" vertical="center" wrapText="1"/>
    </xf>
    <xf numFmtId="166" fontId="32" fillId="7" borderId="1" xfId="1" applyNumberFormat="1" applyFont="1" applyFill="1" applyBorder="1" applyAlignment="1">
      <alignment horizontal="right" vertical="center"/>
    </xf>
    <xf numFmtId="167" fontId="32" fillId="7" borderId="1" xfId="1" applyNumberFormat="1" applyFont="1" applyFill="1" applyBorder="1" applyAlignment="1">
      <alignment horizontal="right" vertical="center"/>
    </xf>
    <xf numFmtId="169" fontId="32" fillId="7" borderId="1" xfId="3" applyNumberFormat="1" applyFont="1" applyFill="1" applyBorder="1" applyAlignment="1" applyProtection="1">
      <alignment horizontal="right" vertical="center"/>
    </xf>
    <xf numFmtId="0" fontId="33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left" vertical="center"/>
    </xf>
    <xf numFmtId="0" fontId="34" fillId="0" borderId="1" xfId="1" applyFont="1" applyBorder="1" applyAlignment="1">
      <alignment horizontal="center" vertical="center" wrapText="1"/>
    </xf>
    <xf numFmtId="166" fontId="34" fillId="0" borderId="1" xfId="1" applyNumberFormat="1" applyFont="1" applyBorder="1" applyAlignment="1">
      <alignment horizontal="center" vertical="center" wrapText="1"/>
    </xf>
    <xf numFmtId="166" fontId="33" fillId="0" borderId="0" xfId="1" applyNumberFormat="1" applyFont="1" applyAlignment="1">
      <alignment vertical="center"/>
    </xf>
    <xf numFmtId="0" fontId="33" fillId="0" borderId="0" xfId="1" applyFont="1" applyAlignment="1">
      <alignment vertical="center"/>
    </xf>
    <xf numFmtId="0" fontId="35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left" vertical="center"/>
    </xf>
    <xf numFmtId="166" fontId="36" fillId="2" borderId="1" xfId="1" applyNumberFormat="1" applyFont="1" applyFill="1" applyBorder="1" applyAlignment="1">
      <alignment horizontal="center" vertical="center"/>
    </xf>
    <xf numFmtId="166" fontId="36" fillId="2" borderId="1" xfId="1" applyNumberFormat="1" applyFont="1" applyFill="1" applyBorder="1" applyAlignment="1">
      <alignment horizontal="right" vertical="center"/>
    </xf>
    <xf numFmtId="167" fontId="36" fillId="2" borderId="1" xfId="1" applyNumberFormat="1" applyFont="1" applyFill="1" applyBorder="1" applyAlignment="1">
      <alignment horizontal="right" vertical="center"/>
    </xf>
    <xf numFmtId="166" fontId="36" fillId="0" borderId="1" xfId="1" applyNumberFormat="1" applyFont="1" applyBorder="1" applyAlignment="1">
      <alignment horizontal="right" vertical="center"/>
    </xf>
    <xf numFmtId="166" fontId="36" fillId="0" borderId="1" xfId="1" applyNumberFormat="1" applyFont="1" applyBorder="1" applyAlignment="1">
      <alignment horizontal="center" vertical="center"/>
    </xf>
    <xf numFmtId="168" fontId="36" fillId="0" borderId="1" xfId="1" applyNumberFormat="1" applyFont="1" applyBorder="1" applyAlignment="1">
      <alignment horizontal="right" vertical="center"/>
    </xf>
    <xf numFmtId="167" fontId="36" fillId="0" borderId="1" xfId="1" applyNumberFormat="1" applyFont="1" applyBorder="1" applyAlignment="1">
      <alignment horizontal="right" vertical="center"/>
    </xf>
    <xf numFmtId="169" fontId="34" fillId="0" borderId="1" xfId="3" applyNumberFormat="1" applyFont="1" applyBorder="1" applyAlignment="1" applyProtection="1">
      <alignment horizontal="right" vertical="center"/>
    </xf>
    <xf numFmtId="166" fontId="34" fillId="0" borderId="1" xfId="1" applyNumberFormat="1" applyFont="1" applyBorder="1" applyAlignment="1">
      <alignment horizontal="right" vertical="center"/>
    </xf>
    <xf numFmtId="169" fontId="36" fillId="0" borderId="1" xfId="3" applyNumberFormat="1" applyFont="1" applyBorder="1" applyAlignment="1" applyProtection="1">
      <alignment horizontal="right" vertical="center"/>
    </xf>
    <xf numFmtId="166" fontId="36" fillId="7" borderId="1" xfId="1" applyNumberFormat="1" applyFont="1" applyFill="1" applyBorder="1" applyAlignment="1">
      <alignment horizontal="right" vertical="center"/>
    </xf>
    <xf numFmtId="167" fontId="36" fillId="7" borderId="1" xfId="1" applyNumberFormat="1" applyFont="1" applyFill="1" applyBorder="1" applyAlignment="1">
      <alignment horizontal="right" vertical="center"/>
    </xf>
    <xf numFmtId="169" fontId="36" fillId="7" borderId="1" xfId="3" applyNumberFormat="1" applyFont="1" applyFill="1" applyBorder="1" applyAlignment="1" applyProtection="1">
      <alignment horizontal="right" vertical="center"/>
    </xf>
    <xf numFmtId="0" fontId="33" fillId="2" borderId="1" xfId="1" applyFont="1" applyFill="1" applyBorder="1" applyAlignment="1">
      <alignment horizontal="center" vertical="center"/>
    </xf>
    <xf numFmtId="0" fontId="34" fillId="2" borderId="1" xfId="1" applyFont="1" applyFill="1" applyBorder="1" applyAlignment="1">
      <alignment horizontal="left" vertical="center"/>
    </xf>
    <xf numFmtId="0" fontId="34" fillId="2" borderId="1" xfId="1" applyFont="1" applyFill="1" applyBorder="1" applyAlignment="1">
      <alignment horizontal="center" vertical="center" wrapText="1"/>
    </xf>
    <xf numFmtId="166" fontId="34" fillId="0" borderId="1" xfId="1" applyNumberFormat="1" applyFont="1" applyBorder="1" applyAlignment="1">
      <alignment horizontal="center" vertical="center"/>
    </xf>
    <xf numFmtId="167" fontId="34" fillId="0" borderId="1" xfId="1" applyNumberFormat="1" applyFont="1" applyBorder="1" applyAlignment="1">
      <alignment horizontal="right" vertical="center"/>
    </xf>
    <xf numFmtId="0" fontId="33" fillId="0" borderId="0" xfId="1" applyFont="1"/>
    <xf numFmtId="0" fontId="38" fillId="0" borderId="0" xfId="1" applyFont="1" applyAlignment="1">
      <alignment vertical="center"/>
    </xf>
    <xf numFmtId="169" fontId="38" fillId="2" borderId="1" xfId="1" applyNumberFormat="1" applyFont="1" applyFill="1" applyBorder="1" applyAlignment="1">
      <alignment vertical="center"/>
    </xf>
    <xf numFmtId="0" fontId="38" fillId="2" borderId="1" xfId="1" applyFont="1" applyFill="1" applyBorder="1"/>
    <xf numFmtId="169" fontId="38" fillId="2" borderId="1" xfId="1" applyNumberFormat="1" applyFont="1" applyFill="1" applyBorder="1"/>
    <xf numFmtId="169" fontId="38" fillId="2" borderId="1" xfId="1" applyNumberFormat="1" applyFont="1" applyFill="1" applyBorder="1" applyAlignment="1">
      <alignment horizontal="right"/>
    </xf>
    <xf numFmtId="0" fontId="37" fillId="2" borderId="1" xfId="1" applyFont="1" applyFill="1" applyBorder="1" applyAlignment="1">
      <alignment horizontal="center" vertical="center" wrapText="1"/>
    </xf>
    <xf numFmtId="0" fontId="37" fillId="2" borderId="2" xfId="1" applyFont="1" applyFill="1" applyBorder="1" applyAlignment="1">
      <alignment horizontal="center" vertical="center"/>
    </xf>
    <xf numFmtId="0" fontId="37" fillId="2" borderId="3" xfId="1" applyFont="1" applyFill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/>
    </xf>
    <xf numFmtId="0" fontId="38" fillId="2" borderId="3" xfId="1" applyFont="1" applyFill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8" fillId="0" borderId="2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  <xf numFmtId="0" fontId="23" fillId="0" borderId="1" xfId="1" applyBorder="1" applyAlignment="1">
      <alignment horizontal="center" vertical="center" wrapText="1"/>
    </xf>
    <xf numFmtId="0" fontId="23" fillId="0" borderId="1" xfId="1" applyBorder="1" applyAlignment="1">
      <alignment horizontal="center" vertical="center"/>
    </xf>
    <xf numFmtId="166" fontId="23" fillId="0" borderId="1" xfId="1" applyNumberFormat="1" applyBorder="1" applyAlignment="1">
      <alignment vertical="center"/>
    </xf>
    <xf numFmtId="166" fontId="33" fillId="0" borderId="1" xfId="1" applyNumberFormat="1" applyFont="1" applyBorder="1" applyAlignment="1">
      <alignment vertical="center"/>
    </xf>
    <xf numFmtId="0" fontId="33" fillId="0" borderId="1" xfId="1" applyFont="1" applyBorder="1" applyAlignment="1">
      <alignment vertical="center"/>
    </xf>
    <xf numFmtId="166" fontId="39" fillId="0" borderId="1" xfId="1" applyNumberFormat="1" applyFont="1" applyBorder="1" applyAlignment="1">
      <alignment vertical="center"/>
    </xf>
    <xf numFmtId="0" fontId="39" fillId="0" borderId="1" xfId="1" applyFont="1" applyBorder="1" applyAlignment="1">
      <alignment vertical="center"/>
    </xf>
    <xf numFmtId="0" fontId="39" fillId="0" borderId="1" xfId="1" applyFont="1" applyBorder="1"/>
    <xf numFmtId="169" fontId="39" fillId="0" borderId="1" xfId="1" applyNumberFormat="1" applyFont="1" applyBorder="1"/>
    <xf numFmtId="169" fontId="39" fillId="0" borderId="1" xfId="4" applyNumberFormat="1" applyFont="1" applyBorder="1"/>
    <xf numFmtId="169" fontId="40" fillId="0" borderId="1" xfId="1" applyNumberFormat="1" applyFont="1" applyBorder="1"/>
    <xf numFmtId="0" fontId="40" fillId="0" borderId="1" xfId="1" applyFont="1" applyBorder="1"/>
    <xf numFmtId="166" fontId="41" fillId="0" borderId="1" xfId="1" applyNumberFormat="1" applyFont="1" applyBorder="1"/>
    <xf numFmtId="166" fontId="33" fillId="2" borderId="1" xfId="1" applyNumberFormat="1" applyFont="1" applyFill="1" applyBorder="1" applyAlignment="1">
      <alignment vertical="center"/>
    </xf>
    <xf numFmtId="0" fontId="33" fillId="2" borderId="1" xfId="1" applyFont="1" applyFill="1" applyBorder="1" applyAlignment="1">
      <alignment vertical="center"/>
    </xf>
  </cellXfs>
  <cellStyles count="5">
    <cellStyle name="Bình thường 2" xfId="2"/>
    <cellStyle name="Bình thường 3" xfId="1"/>
    <cellStyle name="Comma" xfId="4" builtinId="3"/>
    <cellStyle name="Dấu phẩ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3</xdr:col>
      <xdr:colOff>333375</xdr:colOff>
      <xdr:row>2</xdr:row>
      <xdr:rowOff>19051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FA6A2F81-6F71-4F5B-8536-77943900E8B5}"/>
            </a:ext>
          </a:extLst>
        </xdr:cNvPr>
        <xdr:cNvCxnSpPr/>
      </xdr:nvCxnSpPr>
      <xdr:spPr>
        <a:xfrm flipV="1">
          <a:off x="946785" y="468630"/>
          <a:ext cx="237363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19050</xdr:rowOff>
    </xdr:from>
    <xdr:to>
      <xdr:col>3</xdr:col>
      <xdr:colOff>333375</xdr:colOff>
      <xdr:row>2</xdr:row>
      <xdr:rowOff>19051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DEE1569-1561-4455-9A20-57A7BAD4FAC7}"/>
            </a:ext>
          </a:extLst>
        </xdr:cNvPr>
        <xdr:cNvCxnSpPr/>
      </xdr:nvCxnSpPr>
      <xdr:spPr>
        <a:xfrm flipV="1">
          <a:off x="946785" y="468630"/>
          <a:ext cx="237363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="115" zoomScaleNormal="115" workbookViewId="0">
      <pane ySplit="8" topLeftCell="A51" activePane="bottomLeft" state="frozen"/>
      <selection pane="bottomLeft" activeCell="M64" sqref="M64"/>
    </sheetView>
  </sheetViews>
  <sheetFormatPr defaultColWidth="8.75" defaultRowHeight="14.25" x14ac:dyDescent="0.2"/>
  <cols>
    <col min="1" max="1" width="5.25" style="73" customWidth="1"/>
    <col min="2" max="2" width="20.625" style="73" customWidth="1"/>
    <col min="3" max="3" width="13.25" style="73" customWidth="1"/>
    <col min="4" max="4" width="8.125" style="73" customWidth="1"/>
    <col min="5" max="5" width="6.75" style="73" customWidth="1"/>
    <col min="6" max="6" width="14.125" style="73" customWidth="1"/>
    <col min="7" max="7" width="10" style="73" customWidth="1"/>
    <col min="8" max="8" width="7.375" style="73" customWidth="1"/>
    <col min="9" max="9" width="12.25" style="73" customWidth="1"/>
    <col min="10" max="10" width="13.75" style="73" customWidth="1"/>
    <col min="11" max="12" width="9.875" style="73" customWidth="1"/>
    <col min="13" max="13" width="24.625" style="73" customWidth="1"/>
    <col min="14" max="15" width="12.375" style="73" bestFit="1" customWidth="1"/>
    <col min="16" max="16384" width="8.75" style="73"/>
  </cols>
  <sheetData>
    <row r="1" spans="1:15" ht="18.75" x14ac:dyDescent="0.3">
      <c r="B1" s="144" t="s">
        <v>0</v>
      </c>
      <c r="C1" s="144"/>
      <c r="D1" s="144"/>
      <c r="E1" s="144"/>
    </row>
    <row r="2" spans="1:15" ht="18.75" x14ac:dyDescent="0.3">
      <c r="B2" s="145" t="s">
        <v>67</v>
      </c>
      <c r="C2" s="145"/>
      <c r="D2" s="145"/>
      <c r="E2" s="145"/>
    </row>
    <row r="4" spans="1:15" ht="18.75" x14ac:dyDescent="0.3">
      <c r="B4" s="145" t="s">
        <v>68</v>
      </c>
      <c r="C4" s="145"/>
      <c r="D4" s="145"/>
      <c r="E4" s="145"/>
      <c r="F4" s="145"/>
      <c r="G4" s="145"/>
      <c r="H4" s="145"/>
      <c r="I4" s="145"/>
      <c r="J4" s="145"/>
    </row>
    <row r="5" spans="1:15" ht="18.75" x14ac:dyDescent="0.3">
      <c r="B5" s="146" t="s">
        <v>93</v>
      </c>
      <c r="C5" s="146"/>
      <c r="D5" s="146"/>
      <c r="E5" s="146"/>
      <c r="F5" s="146"/>
      <c r="G5" s="146"/>
      <c r="H5" s="146"/>
      <c r="I5" s="146"/>
      <c r="J5" s="146"/>
    </row>
    <row r="7" spans="1:15" s="76" customFormat="1" ht="18.75" customHeight="1" x14ac:dyDescent="0.2">
      <c r="A7" s="74" t="s">
        <v>3</v>
      </c>
      <c r="B7" s="75" t="s">
        <v>69</v>
      </c>
      <c r="C7" s="147" t="s">
        <v>94</v>
      </c>
      <c r="D7" s="148"/>
      <c r="E7" s="149"/>
      <c r="F7" s="147" t="s">
        <v>95</v>
      </c>
      <c r="G7" s="148"/>
      <c r="H7" s="149"/>
      <c r="I7" s="150" t="s">
        <v>70</v>
      </c>
      <c r="J7" s="151"/>
      <c r="K7" s="182" t="s">
        <v>105</v>
      </c>
      <c r="L7" s="182" t="s">
        <v>106</v>
      </c>
      <c r="M7" s="183" t="s">
        <v>110</v>
      </c>
    </row>
    <row r="8" spans="1:15" s="86" customFormat="1" ht="24.75" customHeight="1" x14ac:dyDescent="0.2">
      <c r="A8" s="82"/>
      <c r="B8" s="83" t="s">
        <v>71</v>
      </c>
      <c r="C8" s="84" t="s">
        <v>72</v>
      </c>
      <c r="D8" s="84" t="s">
        <v>73</v>
      </c>
      <c r="E8" s="84" t="s">
        <v>74</v>
      </c>
      <c r="F8" s="84" t="s">
        <v>72</v>
      </c>
      <c r="G8" s="84" t="s">
        <v>73</v>
      </c>
      <c r="H8" s="84" t="s">
        <v>74</v>
      </c>
      <c r="I8" s="84" t="s">
        <v>75</v>
      </c>
      <c r="J8" s="84" t="s">
        <v>76</v>
      </c>
      <c r="K8" s="184"/>
      <c r="L8" s="184"/>
      <c r="M8" s="185"/>
      <c r="O8" s="85"/>
    </row>
    <row r="9" spans="1:15" s="86" customFormat="1" ht="24.75" customHeight="1" x14ac:dyDescent="0.2">
      <c r="A9" s="98" t="s">
        <v>44</v>
      </c>
      <c r="B9" s="97" t="s">
        <v>96</v>
      </c>
      <c r="C9" s="84"/>
      <c r="D9" s="84"/>
      <c r="E9" s="84"/>
      <c r="F9" s="84"/>
      <c r="G9" s="84"/>
      <c r="H9" s="84"/>
      <c r="I9" s="84"/>
      <c r="J9" s="84"/>
      <c r="K9" s="186"/>
      <c r="L9" s="82"/>
      <c r="M9" s="82"/>
      <c r="O9" s="85"/>
    </row>
    <row r="10" spans="1:15" s="112" customFormat="1" ht="24.75" customHeight="1" x14ac:dyDescent="0.2">
      <c r="A10" s="107" t="s">
        <v>97</v>
      </c>
      <c r="B10" s="108" t="s">
        <v>98</v>
      </c>
      <c r="C10" s="109"/>
      <c r="D10" s="109"/>
      <c r="E10" s="109"/>
      <c r="F10" s="110"/>
      <c r="G10" s="109"/>
      <c r="H10" s="109"/>
      <c r="I10" s="110"/>
      <c r="J10" s="109"/>
      <c r="K10" s="187"/>
      <c r="L10" s="188"/>
      <c r="M10" s="188"/>
      <c r="O10" s="111"/>
    </row>
    <row r="11" spans="1:15" s="112" customFormat="1" ht="18" customHeight="1" x14ac:dyDescent="0.2">
      <c r="A11" s="113">
        <v>1</v>
      </c>
      <c r="B11" s="114" t="s">
        <v>77</v>
      </c>
      <c r="C11" s="115">
        <v>22397</v>
      </c>
      <c r="D11" s="116"/>
      <c r="E11" s="117"/>
      <c r="F11" s="115">
        <v>23028</v>
      </c>
      <c r="G11" s="116"/>
      <c r="H11" s="117"/>
      <c r="I11" s="116">
        <f>F11-C11</f>
        <v>631</v>
      </c>
      <c r="J11" s="116"/>
      <c r="K11" s="197">
        <f>F11/9*3</f>
        <v>7676</v>
      </c>
      <c r="L11" s="197">
        <f>K11</f>
        <v>7676</v>
      </c>
      <c r="M11" s="198"/>
      <c r="O11" s="111"/>
    </row>
    <row r="12" spans="1:15" s="112" customFormat="1" ht="18" customHeight="1" x14ac:dyDescent="0.2">
      <c r="A12" s="113">
        <v>2</v>
      </c>
      <c r="B12" s="114" t="s">
        <v>12</v>
      </c>
      <c r="C12" s="119"/>
      <c r="D12" s="120"/>
      <c r="E12" s="121"/>
      <c r="F12" s="119"/>
      <c r="G12" s="120">
        <f>F12/F11</f>
        <v>0</v>
      </c>
      <c r="H12" s="121"/>
      <c r="I12" s="118"/>
      <c r="J12" s="118"/>
      <c r="K12" s="187"/>
      <c r="L12" s="187"/>
      <c r="M12" s="187"/>
      <c r="O12" s="111"/>
    </row>
    <row r="13" spans="1:15" s="112" customFormat="1" ht="18" customHeight="1" x14ac:dyDescent="0.2">
      <c r="A13" s="113">
        <v>3</v>
      </c>
      <c r="B13" s="114" t="s">
        <v>78</v>
      </c>
      <c r="C13" s="122">
        <f>SUM(C14:C22)</f>
        <v>4218757527</v>
      </c>
      <c r="D13" s="118">
        <f>C13/C11</f>
        <v>188362.61673438406</v>
      </c>
      <c r="E13" s="121"/>
      <c r="F13" s="122">
        <f>SUM(F14:F22)</f>
        <v>4542323760</v>
      </c>
      <c r="G13" s="118">
        <f>F13/F11</f>
        <v>197252.20427305889</v>
      </c>
      <c r="H13" s="121"/>
      <c r="I13" s="123">
        <f t="shared" ref="I13:I24" si="0">($F$11-$C$11)*D13</f>
        <v>118856811.15939635</v>
      </c>
      <c r="J13" s="123">
        <f t="shared" ref="J13:J24" si="1">F13-C13-I13</f>
        <v>204709421.84060365</v>
      </c>
      <c r="K13" s="189">
        <f>G13-D13</f>
        <v>8889.587538674823</v>
      </c>
      <c r="L13" s="190"/>
      <c r="M13" s="189" t="s">
        <v>107</v>
      </c>
      <c r="O13" s="111"/>
    </row>
    <row r="14" spans="1:15" s="112" customFormat="1" ht="18" customHeight="1" x14ac:dyDescent="0.2">
      <c r="A14" s="113">
        <v>4</v>
      </c>
      <c r="B14" s="114" t="s">
        <v>79</v>
      </c>
      <c r="C14" s="124">
        <v>758836700</v>
      </c>
      <c r="D14" s="118">
        <f>C14/C11</f>
        <v>33881.176050363887</v>
      </c>
      <c r="E14" s="121">
        <f>C14/C13</f>
        <v>0.17987208203919133</v>
      </c>
      <c r="F14" s="124">
        <f>799778300-F29</f>
        <v>799371300</v>
      </c>
      <c r="G14" s="118">
        <f>F14/F11</f>
        <v>34713.014590932777</v>
      </c>
      <c r="H14" s="121">
        <f>F14/F13</f>
        <v>0.17598289823356844</v>
      </c>
      <c r="I14" s="123">
        <f t="shared" si="0"/>
        <v>21379022.087779611</v>
      </c>
      <c r="J14" s="123">
        <f t="shared" si="1"/>
        <v>19155577.912220389</v>
      </c>
      <c r="K14" s="189">
        <f>J14/K11</f>
        <v>2495.5156217066688</v>
      </c>
      <c r="L14" s="189"/>
      <c r="M14" s="189" t="s">
        <v>108</v>
      </c>
    </row>
    <row r="15" spans="1:15" s="112" customFormat="1" ht="18" customHeight="1" x14ac:dyDescent="0.2">
      <c r="A15" s="113">
        <v>5</v>
      </c>
      <c r="B15" s="114" t="s">
        <v>80</v>
      </c>
      <c r="C15" s="124">
        <v>536094000</v>
      </c>
      <c r="D15" s="118">
        <f>C15/C11</f>
        <v>23935.973567888555</v>
      </c>
      <c r="E15" s="121">
        <f>C15/C13</f>
        <v>0.12707390661089302</v>
      </c>
      <c r="F15" s="124">
        <f>533781600-F45</f>
        <v>360262200</v>
      </c>
      <c r="G15" s="118">
        <f>F15/F11</f>
        <v>15644.528400208443</v>
      </c>
      <c r="H15" s="121">
        <f>F15/F13</f>
        <v>7.9312312163323212E-2</v>
      </c>
      <c r="I15" s="123">
        <f t="shared" si="0"/>
        <v>15103599.321337678</v>
      </c>
      <c r="J15" s="123">
        <f t="shared" si="1"/>
        <v>-190935399.32133767</v>
      </c>
      <c r="K15" s="189"/>
      <c r="L15" s="189">
        <f>-J15/L11</f>
        <v>24874.335503040344</v>
      </c>
      <c r="M15" s="189" t="s">
        <v>109</v>
      </c>
      <c r="N15" s="111"/>
    </row>
    <row r="16" spans="1:15" s="112" customFormat="1" ht="18" customHeight="1" x14ac:dyDescent="0.2">
      <c r="A16" s="113">
        <v>6</v>
      </c>
      <c r="B16" s="114" t="s">
        <v>81</v>
      </c>
      <c r="C16" s="124">
        <f>2158884327+546000</f>
        <v>2159430327</v>
      </c>
      <c r="D16" s="118">
        <f>C16/C11</f>
        <v>96416.052462383348</v>
      </c>
      <c r="E16" s="121">
        <f>C16/C13</f>
        <v>0.51186405314353112</v>
      </c>
      <c r="F16" s="124">
        <f>2358141396-F31</f>
        <v>2332729660</v>
      </c>
      <c r="G16" s="118">
        <f>F16/F11</f>
        <v>101299.70731283654</v>
      </c>
      <c r="H16" s="121">
        <f>F16/F13</f>
        <v>0.51355424739693145</v>
      </c>
      <c r="I16" s="123">
        <f t="shared" si="0"/>
        <v>60838529.103763893</v>
      </c>
      <c r="J16" s="123">
        <f t="shared" si="1"/>
        <v>112460803.89623611</v>
      </c>
      <c r="K16" s="189">
        <f>J16/K11</f>
        <v>14650.964551359577</v>
      </c>
      <c r="L16" s="189"/>
      <c r="M16" s="189" t="s">
        <v>108</v>
      </c>
      <c r="N16" s="111"/>
    </row>
    <row r="17" spans="1:15" s="112" customFormat="1" ht="18" customHeight="1" x14ac:dyDescent="0.2">
      <c r="A17" s="113">
        <v>7</v>
      </c>
      <c r="B17" s="114" t="s">
        <v>82</v>
      </c>
      <c r="C17" s="124"/>
      <c r="D17" s="118">
        <f>C17/C11</f>
        <v>0</v>
      </c>
      <c r="E17" s="121">
        <f>C17/C13</f>
        <v>0</v>
      </c>
      <c r="F17" s="124"/>
      <c r="G17" s="118">
        <f>F17/F11</f>
        <v>0</v>
      </c>
      <c r="H17" s="121">
        <f>F17/F13</f>
        <v>0</v>
      </c>
      <c r="I17" s="123">
        <f t="shared" si="0"/>
        <v>0</v>
      </c>
      <c r="J17" s="123">
        <f t="shared" si="1"/>
        <v>0</v>
      </c>
      <c r="K17" s="189"/>
      <c r="L17" s="189"/>
      <c r="M17" s="189"/>
      <c r="N17" s="111"/>
    </row>
    <row r="18" spans="1:15" s="112" customFormat="1" ht="18" customHeight="1" x14ac:dyDescent="0.2">
      <c r="A18" s="113">
        <v>8</v>
      </c>
      <c r="B18" s="114" t="s">
        <v>83</v>
      </c>
      <c r="C18" s="124">
        <v>109584800</v>
      </c>
      <c r="D18" s="118">
        <f>C18/C11</f>
        <v>4892.8338616779029</v>
      </c>
      <c r="E18" s="121">
        <f>C18/C13</f>
        <v>2.5975609951190259E-2</v>
      </c>
      <c r="F18" s="124">
        <f>557243100-F33</f>
        <v>347600500</v>
      </c>
      <c r="G18" s="118">
        <f>F18/F11</f>
        <v>15094.689074170576</v>
      </c>
      <c r="H18" s="121">
        <f>F18/F13</f>
        <v>7.6524818213310267E-2</v>
      </c>
      <c r="I18" s="123">
        <f t="shared" si="0"/>
        <v>3087378.1667187568</v>
      </c>
      <c r="J18" s="123">
        <f t="shared" si="1"/>
        <v>234928321.83328125</v>
      </c>
      <c r="K18" s="189"/>
      <c r="L18" s="189"/>
      <c r="M18" s="190"/>
      <c r="N18" s="111"/>
    </row>
    <row r="19" spans="1:15" s="112" customFormat="1" ht="18" customHeight="1" x14ac:dyDescent="0.2">
      <c r="A19" s="113">
        <v>9</v>
      </c>
      <c r="B19" s="114" t="s">
        <v>84</v>
      </c>
      <c r="C19" s="124"/>
      <c r="D19" s="118">
        <f>C19/C11</f>
        <v>0</v>
      </c>
      <c r="E19" s="121">
        <f>C19/C13</f>
        <v>0</v>
      </c>
      <c r="F19" s="124">
        <f>709218-F34</f>
        <v>0</v>
      </c>
      <c r="G19" s="118">
        <f>F19/F11</f>
        <v>0</v>
      </c>
      <c r="H19" s="121">
        <f>F19/F13</f>
        <v>0</v>
      </c>
      <c r="I19" s="123">
        <f t="shared" si="0"/>
        <v>0</v>
      </c>
      <c r="J19" s="123">
        <f t="shared" si="1"/>
        <v>0</v>
      </c>
      <c r="K19" s="189"/>
      <c r="L19" s="189"/>
      <c r="M19" s="189"/>
    </row>
    <row r="20" spans="1:15" s="112" customFormat="1" ht="18" customHeight="1" x14ac:dyDescent="0.2">
      <c r="A20" s="113">
        <v>10</v>
      </c>
      <c r="B20" s="114" t="s">
        <v>88</v>
      </c>
      <c r="C20" s="124">
        <v>654811700</v>
      </c>
      <c r="D20" s="118">
        <f>C20/C11</f>
        <v>29236.580792070366</v>
      </c>
      <c r="E20" s="121">
        <f>C20/C13</f>
        <v>0.15521434825519423</v>
      </c>
      <c r="F20" s="124">
        <v>702360100</v>
      </c>
      <c r="G20" s="118">
        <f>F20/F11</f>
        <v>30500.264894910542</v>
      </c>
      <c r="H20" s="121">
        <f>F20/F13</f>
        <v>0.15462572399286659</v>
      </c>
      <c r="I20" s="123">
        <f t="shared" si="0"/>
        <v>18448282.479796402</v>
      </c>
      <c r="J20" s="123">
        <f t="shared" si="1"/>
        <v>29100117.520203598</v>
      </c>
      <c r="K20" s="189"/>
      <c r="L20" s="189"/>
      <c r="M20" s="189"/>
      <c r="N20" s="111"/>
    </row>
    <row r="21" spans="1:15" s="112" customFormat="1" ht="18" customHeight="1" x14ac:dyDescent="0.2">
      <c r="A21" s="113">
        <v>11</v>
      </c>
      <c r="B21" s="114" t="s">
        <v>89</v>
      </c>
      <c r="C21" s="118"/>
      <c r="D21" s="118">
        <f>C21/C11</f>
        <v>0</v>
      </c>
      <c r="E21" s="121">
        <f>C21/C13</f>
        <v>0</v>
      </c>
      <c r="F21" s="118"/>
      <c r="G21" s="118">
        <f>F21/F11</f>
        <v>0</v>
      </c>
      <c r="H21" s="121">
        <f>F21/F13</f>
        <v>0</v>
      </c>
      <c r="I21" s="123">
        <f t="shared" si="0"/>
        <v>0</v>
      </c>
      <c r="J21" s="123">
        <f t="shared" si="1"/>
        <v>0</v>
      </c>
      <c r="K21" s="189"/>
      <c r="L21" s="189"/>
      <c r="M21" s="189"/>
    </row>
    <row r="22" spans="1:15" s="112" customFormat="1" ht="18" customHeight="1" x14ac:dyDescent="0.2">
      <c r="A22" s="113">
        <v>12</v>
      </c>
      <c r="B22" s="114" t="s">
        <v>90</v>
      </c>
      <c r="C22" s="124"/>
      <c r="D22" s="118">
        <f>C22/C11</f>
        <v>0</v>
      </c>
      <c r="E22" s="121">
        <f>C22/C13</f>
        <v>0</v>
      </c>
      <c r="F22" s="124"/>
      <c r="G22" s="118">
        <f>F22/F11</f>
        <v>0</v>
      </c>
      <c r="H22" s="121">
        <f>F22/F13</f>
        <v>0</v>
      </c>
      <c r="I22" s="123">
        <f t="shared" si="0"/>
        <v>0</v>
      </c>
      <c r="J22" s="123">
        <f t="shared" si="1"/>
        <v>0</v>
      </c>
      <c r="K22" s="189"/>
      <c r="L22" s="189"/>
      <c r="M22" s="189"/>
    </row>
    <row r="23" spans="1:15" s="112" customFormat="1" ht="18" customHeight="1" x14ac:dyDescent="0.2">
      <c r="A23" s="113">
        <v>13</v>
      </c>
      <c r="B23" s="114" t="s">
        <v>91</v>
      </c>
      <c r="C23" s="124">
        <v>29922521</v>
      </c>
      <c r="D23" s="118">
        <f>C23/C11</f>
        <v>1336.0057596999598</v>
      </c>
      <c r="E23" s="121">
        <f>C23/C13</f>
        <v>7.0927330638218024E-3</v>
      </c>
      <c r="F23" s="124">
        <f>35257711-F38</f>
        <v>30689386</v>
      </c>
      <c r="G23" s="118">
        <f>F23/F11</f>
        <v>1332.6987146083029</v>
      </c>
      <c r="H23" s="121">
        <f>F23/F13</f>
        <v>6.756318488402949E-3</v>
      </c>
      <c r="I23" s="123">
        <f t="shared" si="0"/>
        <v>843019.63437067461</v>
      </c>
      <c r="J23" s="123">
        <f t="shared" si="1"/>
        <v>-76154.634370674612</v>
      </c>
      <c r="K23" s="189"/>
      <c r="L23" s="189"/>
      <c r="M23" s="189"/>
    </row>
    <row r="24" spans="1:15" s="112" customFormat="1" ht="18" customHeight="1" x14ac:dyDescent="0.2">
      <c r="A24" s="113">
        <v>14</v>
      </c>
      <c r="B24" s="114" t="s">
        <v>92</v>
      </c>
      <c r="C24" s="124">
        <f>C13-C23</f>
        <v>4188835006</v>
      </c>
      <c r="D24" s="125">
        <f>C24/C11</f>
        <v>187026.6109746841</v>
      </c>
      <c r="E24" s="126">
        <f>C24/C13</f>
        <v>0.99290726693617815</v>
      </c>
      <c r="F24" s="127">
        <f>F13-F23</f>
        <v>4511634374</v>
      </c>
      <c r="G24" s="125">
        <f>F24/F11</f>
        <v>195919.50555845059</v>
      </c>
      <c r="H24" s="121">
        <f>F24/F13</f>
        <v>0.99324368151159703</v>
      </c>
      <c r="I24" s="123">
        <f t="shared" si="0"/>
        <v>118013791.52502567</v>
      </c>
      <c r="J24" s="123">
        <f t="shared" si="1"/>
        <v>204785576.47497433</v>
      </c>
      <c r="K24" s="189"/>
      <c r="L24" s="189"/>
      <c r="M24" s="190"/>
    </row>
    <row r="25" spans="1:15" s="112" customFormat="1" ht="24.75" customHeight="1" x14ac:dyDescent="0.2">
      <c r="A25" s="128" t="s">
        <v>97</v>
      </c>
      <c r="B25" s="129" t="s">
        <v>101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O25" s="111"/>
    </row>
    <row r="26" spans="1:15" s="112" customFormat="1" ht="18" customHeight="1" x14ac:dyDescent="0.2">
      <c r="A26" s="113">
        <v>1</v>
      </c>
      <c r="B26" s="114" t="s">
        <v>77</v>
      </c>
      <c r="C26" s="131">
        <v>0</v>
      </c>
      <c r="D26" s="123"/>
      <c r="E26" s="132"/>
      <c r="F26" s="131">
        <v>113</v>
      </c>
      <c r="G26" s="118"/>
      <c r="H26" s="121"/>
      <c r="I26" s="118"/>
      <c r="J26" s="118"/>
      <c r="K26" s="189"/>
      <c r="L26" s="189"/>
      <c r="M26" s="190"/>
      <c r="O26" s="111"/>
    </row>
    <row r="27" spans="1:15" s="112" customFormat="1" ht="18" customHeight="1" x14ac:dyDescent="0.2">
      <c r="A27" s="113">
        <v>2</v>
      </c>
      <c r="B27" s="114" t="s">
        <v>12</v>
      </c>
      <c r="C27" s="119"/>
      <c r="D27" s="120"/>
      <c r="E27" s="121"/>
      <c r="F27" s="119"/>
      <c r="G27" s="120">
        <f>F27/F26</f>
        <v>0</v>
      </c>
      <c r="H27" s="121"/>
      <c r="I27" s="118"/>
      <c r="J27" s="118"/>
      <c r="K27" s="189"/>
      <c r="L27" s="189"/>
      <c r="M27" s="189"/>
      <c r="O27" s="111"/>
    </row>
    <row r="28" spans="1:15" s="112" customFormat="1" ht="18" customHeight="1" x14ac:dyDescent="0.2">
      <c r="A28" s="113">
        <v>3</v>
      </c>
      <c r="B28" s="114" t="s">
        <v>78</v>
      </c>
      <c r="C28" s="122">
        <f>SUM(C29:C37)</f>
        <v>0</v>
      </c>
      <c r="D28" s="118"/>
      <c r="E28" s="121"/>
      <c r="F28" s="122">
        <f>SUM(F29:F37)</f>
        <v>242815054</v>
      </c>
      <c r="G28" s="118">
        <f>F28/F26</f>
        <v>2148805.7876106193</v>
      </c>
      <c r="H28" s="121"/>
      <c r="I28" s="123">
        <f>($F$26-$C$26)*D28</f>
        <v>0</v>
      </c>
      <c r="J28" s="123">
        <f t="shared" ref="J28:J39" si="2">F28-C28-I28</f>
        <v>242815054</v>
      </c>
      <c r="K28" s="189"/>
      <c r="L28" s="189"/>
      <c r="M28" s="189"/>
      <c r="O28" s="111"/>
    </row>
    <row r="29" spans="1:15" s="112" customFormat="1" ht="18" customHeight="1" x14ac:dyDescent="0.2">
      <c r="A29" s="113">
        <v>4</v>
      </c>
      <c r="B29" s="114" t="s">
        <v>79</v>
      </c>
      <c r="C29" s="124"/>
      <c r="D29" s="118"/>
      <c r="E29" s="121"/>
      <c r="F29" s="124">
        <v>407000</v>
      </c>
      <c r="G29" s="118">
        <f>F29/F26</f>
        <v>3601.7699115044247</v>
      </c>
      <c r="H29" s="121">
        <f>F29/F28</f>
        <v>1.6761728455271145E-3</v>
      </c>
      <c r="I29" s="123">
        <f t="shared" ref="I29:I39" si="3">($F$26-$C$26)*D29</f>
        <v>0</v>
      </c>
      <c r="J29" s="123">
        <f t="shared" si="2"/>
        <v>407000</v>
      </c>
      <c r="K29" s="189"/>
      <c r="L29" s="189"/>
      <c r="M29" s="189"/>
    </row>
    <row r="30" spans="1:15" s="112" customFormat="1" ht="18" customHeight="1" x14ac:dyDescent="0.2">
      <c r="A30" s="113">
        <v>5</v>
      </c>
      <c r="B30" s="114" t="s">
        <v>80</v>
      </c>
      <c r="C30" s="124"/>
      <c r="D30" s="118"/>
      <c r="E30" s="121"/>
      <c r="F30" s="124">
        <v>6644500</v>
      </c>
      <c r="G30" s="118">
        <f>F30/F26</f>
        <v>58800.884955752212</v>
      </c>
      <c r="H30" s="121">
        <f>F30/F28</f>
        <v>2.7364448334410107E-2</v>
      </c>
      <c r="I30" s="123">
        <f t="shared" si="3"/>
        <v>0</v>
      </c>
      <c r="J30" s="123">
        <f t="shared" si="2"/>
        <v>6644500</v>
      </c>
      <c r="K30" s="189"/>
      <c r="L30" s="189"/>
      <c r="M30" s="189"/>
      <c r="N30" s="111"/>
    </row>
    <row r="31" spans="1:15" s="112" customFormat="1" ht="18" customHeight="1" x14ac:dyDescent="0.2">
      <c r="A31" s="113">
        <v>6</v>
      </c>
      <c r="B31" s="114" t="s">
        <v>81</v>
      </c>
      <c r="C31" s="124"/>
      <c r="D31" s="118"/>
      <c r="E31" s="121"/>
      <c r="F31" s="124">
        <v>25411736</v>
      </c>
      <c r="G31" s="118">
        <f>F31/F26</f>
        <v>224882.61946902654</v>
      </c>
      <c r="H31" s="121">
        <f>F31/F28</f>
        <v>0.10465469739779808</v>
      </c>
      <c r="I31" s="123">
        <f t="shared" si="3"/>
        <v>0</v>
      </c>
      <c r="J31" s="123">
        <f t="shared" si="2"/>
        <v>25411736</v>
      </c>
      <c r="K31" s="189"/>
      <c r="L31" s="189"/>
      <c r="M31" s="190"/>
      <c r="N31" s="111"/>
    </row>
    <row r="32" spans="1:15" s="112" customFormat="1" ht="18" customHeight="1" x14ac:dyDescent="0.2">
      <c r="A32" s="113">
        <v>7</v>
      </c>
      <c r="B32" s="114" t="s">
        <v>82</v>
      </c>
      <c r="C32" s="124"/>
      <c r="D32" s="118"/>
      <c r="E32" s="121"/>
      <c r="F32" s="124"/>
      <c r="G32" s="118">
        <f>F32/F26</f>
        <v>0</v>
      </c>
      <c r="H32" s="121">
        <f>F32/F28</f>
        <v>0</v>
      </c>
      <c r="I32" s="123">
        <f t="shared" si="3"/>
        <v>0</v>
      </c>
      <c r="J32" s="123">
        <f t="shared" si="2"/>
        <v>0</v>
      </c>
      <c r="K32" s="189"/>
      <c r="L32" s="189"/>
      <c r="M32" s="189"/>
      <c r="N32" s="111"/>
    </row>
    <row r="33" spans="1:14" s="112" customFormat="1" ht="18" customHeight="1" x14ac:dyDescent="0.2">
      <c r="A33" s="113">
        <v>8</v>
      </c>
      <c r="B33" s="114" t="s">
        <v>83</v>
      </c>
      <c r="C33" s="124"/>
      <c r="D33" s="118"/>
      <c r="E33" s="121"/>
      <c r="F33" s="124">
        <v>209642600</v>
      </c>
      <c r="G33" s="118">
        <f>F33/F26</f>
        <v>1855244.2477876106</v>
      </c>
      <c r="H33" s="121">
        <f>F33/F28</f>
        <v>0.86338386581253734</v>
      </c>
      <c r="I33" s="123">
        <f t="shared" si="3"/>
        <v>0</v>
      </c>
      <c r="J33" s="123">
        <f t="shared" si="2"/>
        <v>209642600</v>
      </c>
      <c r="K33" s="189"/>
      <c r="L33" s="189"/>
      <c r="M33" s="190"/>
      <c r="N33" s="111"/>
    </row>
    <row r="34" spans="1:14" s="112" customFormat="1" ht="18" customHeight="1" x14ac:dyDescent="0.2">
      <c r="A34" s="113">
        <v>9</v>
      </c>
      <c r="B34" s="114" t="s">
        <v>84</v>
      </c>
      <c r="C34" s="124"/>
      <c r="D34" s="118"/>
      <c r="E34" s="121"/>
      <c r="F34" s="124">
        <v>709218</v>
      </c>
      <c r="G34" s="118">
        <f>F34/F26</f>
        <v>6276.2654867256633</v>
      </c>
      <c r="H34" s="121">
        <f>F34/F28</f>
        <v>2.9208156097273938E-3</v>
      </c>
      <c r="I34" s="123">
        <f t="shared" si="3"/>
        <v>0</v>
      </c>
      <c r="J34" s="123">
        <f t="shared" si="2"/>
        <v>709218</v>
      </c>
      <c r="K34" s="189"/>
      <c r="L34" s="189"/>
      <c r="M34" s="189"/>
    </row>
    <row r="35" spans="1:14" s="112" customFormat="1" ht="18" customHeight="1" x14ac:dyDescent="0.2">
      <c r="A35" s="113">
        <v>10</v>
      </c>
      <c r="B35" s="114" t="s">
        <v>88</v>
      </c>
      <c r="C35" s="124"/>
      <c r="D35" s="118"/>
      <c r="E35" s="121"/>
      <c r="F35" s="124"/>
      <c r="G35" s="118">
        <f>F35/F26</f>
        <v>0</v>
      </c>
      <c r="H35" s="121">
        <f>F35/F28</f>
        <v>0</v>
      </c>
      <c r="I35" s="123">
        <f t="shared" si="3"/>
        <v>0</v>
      </c>
      <c r="J35" s="123">
        <f t="shared" si="2"/>
        <v>0</v>
      </c>
      <c r="K35" s="189"/>
      <c r="L35" s="189"/>
      <c r="M35" s="189"/>
      <c r="N35" s="111"/>
    </row>
    <row r="36" spans="1:14" s="112" customFormat="1" ht="18" customHeight="1" x14ac:dyDescent="0.2">
      <c r="A36" s="113">
        <v>11</v>
      </c>
      <c r="B36" s="114" t="s">
        <v>89</v>
      </c>
      <c r="C36" s="118"/>
      <c r="D36" s="118"/>
      <c r="E36" s="121"/>
      <c r="F36" s="118"/>
      <c r="G36" s="118">
        <f>F36/F26</f>
        <v>0</v>
      </c>
      <c r="H36" s="121">
        <f>F36/F28</f>
        <v>0</v>
      </c>
      <c r="I36" s="123">
        <f t="shared" si="3"/>
        <v>0</v>
      </c>
      <c r="J36" s="123">
        <f t="shared" si="2"/>
        <v>0</v>
      </c>
      <c r="K36" s="189"/>
      <c r="L36" s="189"/>
      <c r="M36" s="189"/>
    </row>
    <row r="37" spans="1:14" s="112" customFormat="1" ht="18" customHeight="1" x14ac:dyDescent="0.2">
      <c r="A37" s="113">
        <v>12</v>
      </c>
      <c r="B37" s="114" t="s">
        <v>90</v>
      </c>
      <c r="C37" s="124"/>
      <c r="D37" s="118"/>
      <c r="E37" s="121"/>
      <c r="F37" s="124"/>
      <c r="G37" s="118">
        <f>F37/F26</f>
        <v>0</v>
      </c>
      <c r="H37" s="121">
        <f>F37/F28</f>
        <v>0</v>
      </c>
      <c r="I37" s="123">
        <f t="shared" si="3"/>
        <v>0</v>
      </c>
      <c r="J37" s="123">
        <f t="shared" si="2"/>
        <v>0</v>
      </c>
      <c r="K37" s="189"/>
      <c r="L37" s="189"/>
      <c r="M37" s="189"/>
    </row>
    <row r="38" spans="1:14" s="112" customFormat="1" ht="18" customHeight="1" x14ac:dyDescent="0.2">
      <c r="A38" s="113">
        <v>13</v>
      </c>
      <c r="B38" s="114" t="s">
        <v>91</v>
      </c>
      <c r="C38" s="124"/>
      <c r="D38" s="118"/>
      <c r="E38" s="121"/>
      <c r="F38" s="124">
        <v>4568325</v>
      </c>
      <c r="G38" s="118">
        <f>F38/F26</f>
        <v>40427.654867256635</v>
      </c>
      <c r="H38" s="121">
        <f>F38/F28</f>
        <v>1.8814010600841907E-2</v>
      </c>
      <c r="I38" s="123">
        <f t="shared" si="3"/>
        <v>0</v>
      </c>
      <c r="J38" s="123">
        <f t="shared" si="2"/>
        <v>4568325</v>
      </c>
      <c r="K38" s="189"/>
      <c r="L38" s="189"/>
      <c r="M38" s="189"/>
    </row>
    <row r="39" spans="1:14" s="112" customFormat="1" ht="18" customHeight="1" x14ac:dyDescent="0.2">
      <c r="A39" s="113">
        <v>14</v>
      </c>
      <c r="B39" s="114" t="s">
        <v>92</v>
      </c>
      <c r="C39" s="124">
        <f>C28-C38</f>
        <v>0</v>
      </c>
      <c r="D39" s="125"/>
      <c r="E39" s="126"/>
      <c r="F39" s="127">
        <f>F28-F38</f>
        <v>238246729</v>
      </c>
      <c r="G39" s="125">
        <f>F39/F26</f>
        <v>2108378.1327433628</v>
      </c>
      <c r="H39" s="121">
        <f>F39/F28</f>
        <v>0.98118598939915813</v>
      </c>
      <c r="I39" s="123">
        <f t="shared" si="3"/>
        <v>0</v>
      </c>
      <c r="J39" s="123">
        <f t="shared" si="2"/>
        <v>238246729</v>
      </c>
      <c r="K39" s="189"/>
      <c r="L39" s="189"/>
      <c r="M39" s="190"/>
    </row>
    <row r="40" spans="1:14" s="133" customFormat="1" ht="21.6" customHeight="1" x14ac:dyDescent="0.2">
      <c r="A40" s="128" t="s">
        <v>97</v>
      </c>
      <c r="B40" s="129" t="s">
        <v>99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4" s="133" customFormat="1" ht="15" x14ac:dyDescent="0.2">
      <c r="A41" s="113">
        <v>1</v>
      </c>
      <c r="B41" s="114" t="s">
        <v>77</v>
      </c>
      <c r="C41" s="131">
        <v>4828</v>
      </c>
      <c r="D41" s="123"/>
      <c r="E41" s="132"/>
      <c r="F41" s="131">
        <v>4952</v>
      </c>
      <c r="G41" s="123"/>
      <c r="H41" s="132"/>
      <c r="I41" s="123">
        <f>F41-C41</f>
        <v>124</v>
      </c>
      <c r="J41" s="118"/>
      <c r="K41" s="196">
        <f>F41/9*3</f>
        <v>1650.6666666666665</v>
      </c>
      <c r="L41" s="191"/>
      <c r="M41" s="191"/>
    </row>
    <row r="42" spans="1:14" s="133" customFormat="1" ht="15" x14ac:dyDescent="0.2">
      <c r="A42" s="113">
        <v>2</v>
      </c>
      <c r="B42" s="114" t="s">
        <v>12</v>
      </c>
      <c r="C42" s="119"/>
      <c r="D42" s="120">
        <f>C42/C41</f>
        <v>0</v>
      </c>
      <c r="E42" s="121"/>
      <c r="F42" s="119"/>
      <c r="G42" s="120">
        <f>F42/F41</f>
        <v>0</v>
      </c>
      <c r="H42" s="121"/>
      <c r="I42" s="118"/>
      <c r="J42" s="118"/>
      <c r="K42" s="191"/>
      <c r="L42" s="191"/>
      <c r="M42" s="191"/>
    </row>
    <row r="43" spans="1:14" s="133" customFormat="1" ht="15" x14ac:dyDescent="0.2">
      <c r="A43" s="113">
        <v>3</v>
      </c>
      <c r="B43" s="114" t="s">
        <v>78</v>
      </c>
      <c r="C43" s="122">
        <f>SUM(C44:C52)</f>
        <v>7703446283</v>
      </c>
      <c r="D43" s="118">
        <f>C43/C41</f>
        <v>1595577.1091549296</v>
      </c>
      <c r="E43" s="121"/>
      <c r="F43" s="122">
        <f>SUM(F44:F52)</f>
        <v>7870897553</v>
      </c>
      <c r="G43" s="124">
        <f>F43/F41</f>
        <v>1589438.1165185783</v>
      </c>
      <c r="H43" s="122">
        <f>SUM(H44:H52)</f>
        <v>1</v>
      </c>
      <c r="I43" s="122">
        <f>SUM(I44:I52)</f>
        <v>197851561.53521124</v>
      </c>
      <c r="J43" s="122">
        <f>SUM(J44:J52)</f>
        <v>-30400291.53521125</v>
      </c>
      <c r="K43" s="192"/>
      <c r="L43" s="192">
        <f>D43-G43</f>
        <v>6138.9926363513805</v>
      </c>
      <c r="M43" s="191" t="s">
        <v>111</v>
      </c>
    </row>
    <row r="44" spans="1:14" s="133" customFormat="1" ht="15" x14ac:dyDescent="0.2">
      <c r="A44" s="113">
        <v>4</v>
      </c>
      <c r="B44" s="114" t="s">
        <v>79</v>
      </c>
      <c r="C44" s="124">
        <v>399722700</v>
      </c>
      <c r="D44" s="118">
        <f>C44/C41</f>
        <v>82792.605633802814</v>
      </c>
      <c r="E44" s="121">
        <f>C44/C43</f>
        <v>5.1888815124486537E-2</v>
      </c>
      <c r="F44" s="124">
        <v>415292300</v>
      </c>
      <c r="G44" s="118">
        <f>F44/F41</f>
        <v>83863.550080775443</v>
      </c>
      <c r="H44" s="121">
        <f>F44/F43</f>
        <v>5.2763016822866785E-2</v>
      </c>
      <c r="I44" s="123">
        <f t="shared" ref="I44:I54" si="4">($F$41-$C$41)*D44</f>
        <v>10266283.098591549</v>
      </c>
      <c r="J44" s="123">
        <f t="shared" ref="J44:J54" si="5">F44-C44-I44</f>
        <v>5303316.9014084507</v>
      </c>
      <c r="K44" s="193">
        <f>J44/K41</f>
        <v>3212.8333409178822</v>
      </c>
      <c r="L44" s="192"/>
      <c r="M44" s="191" t="s">
        <v>112</v>
      </c>
    </row>
    <row r="45" spans="1:14" s="133" customFormat="1" ht="15" x14ac:dyDescent="0.2">
      <c r="A45" s="113">
        <v>5</v>
      </c>
      <c r="B45" s="114" t="s">
        <v>80</v>
      </c>
      <c r="C45" s="124">
        <v>181304800</v>
      </c>
      <c r="D45" s="118">
        <f>C45/C41</f>
        <v>37552.775476387738</v>
      </c>
      <c r="E45" s="121">
        <f>C45/C43</f>
        <v>2.3535544136927943E-2</v>
      </c>
      <c r="F45" s="124">
        <v>173519400</v>
      </c>
      <c r="G45" s="118">
        <f>F45/F41</f>
        <v>35040.266558966076</v>
      </c>
      <c r="H45" s="121">
        <f>F45/F43</f>
        <v>2.2045694132286464E-2</v>
      </c>
      <c r="I45" s="123">
        <f t="shared" si="4"/>
        <v>4656544.1590720797</v>
      </c>
      <c r="J45" s="123">
        <f t="shared" si="5"/>
        <v>-12441944.159072079</v>
      </c>
      <c r="K45" s="192"/>
      <c r="L45" s="192">
        <f>-J45/K41</f>
        <v>7537.526752264992</v>
      </c>
      <c r="M45" s="191" t="s">
        <v>111</v>
      </c>
    </row>
    <row r="46" spans="1:14" s="133" customFormat="1" ht="15" x14ac:dyDescent="0.2">
      <c r="A46" s="113">
        <v>6</v>
      </c>
      <c r="B46" s="114" t="s">
        <v>81</v>
      </c>
      <c r="C46" s="124">
        <v>1718778203</v>
      </c>
      <c r="D46" s="118">
        <f>C46/C41</f>
        <v>356002.11329743167</v>
      </c>
      <c r="E46" s="121">
        <f>C46/C43</f>
        <v>0.22311808765292587</v>
      </c>
      <c r="F46" s="124">
        <v>1651004097</v>
      </c>
      <c r="G46" s="118">
        <f>F46/F41</f>
        <v>333401.47354604199</v>
      </c>
      <c r="H46" s="121">
        <f>F46/F43</f>
        <v>0.20976058777066894</v>
      </c>
      <c r="I46" s="123">
        <f t="shared" si="4"/>
        <v>44144262.048881531</v>
      </c>
      <c r="J46" s="123">
        <f t="shared" si="5"/>
        <v>-111918368.04888153</v>
      </c>
      <c r="K46" s="192"/>
      <c r="L46" s="192">
        <f>-J46/K41</f>
        <v>67801.919254168941</v>
      </c>
      <c r="M46" s="191" t="s">
        <v>111</v>
      </c>
    </row>
    <row r="47" spans="1:14" s="133" customFormat="1" ht="15" x14ac:dyDescent="0.2">
      <c r="A47" s="113">
        <v>7</v>
      </c>
      <c r="B47" s="114" t="s">
        <v>82</v>
      </c>
      <c r="C47" s="124">
        <v>37297000</v>
      </c>
      <c r="D47" s="118">
        <f>C47/C41</f>
        <v>7725.1449875724938</v>
      </c>
      <c r="E47" s="121">
        <f>C47/C43</f>
        <v>4.8415992829478399E-3</v>
      </c>
      <c r="F47" s="124">
        <v>35149000</v>
      </c>
      <c r="G47" s="118">
        <f>F47/F41</f>
        <v>7097.9402261712439</v>
      </c>
      <c r="H47" s="121">
        <f>F47/F43</f>
        <v>4.4656914619099477E-3</v>
      </c>
      <c r="I47" s="123">
        <f t="shared" si="4"/>
        <v>957917.97845898918</v>
      </c>
      <c r="J47" s="123">
        <f t="shared" si="5"/>
        <v>-3105917.9784589894</v>
      </c>
      <c r="K47" s="192"/>
      <c r="L47" s="192"/>
      <c r="M47" s="191"/>
    </row>
    <row r="48" spans="1:14" s="133" customFormat="1" ht="15" x14ac:dyDescent="0.2">
      <c r="A48" s="113">
        <v>8</v>
      </c>
      <c r="B48" s="114" t="s">
        <v>83</v>
      </c>
      <c r="C48" s="124">
        <v>1958471100</v>
      </c>
      <c r="D48" s="118">
        <f>C48/C41</f>
        <v>405648.5294117647</v>
      </c>
      <c r="E48" s="121">
        <f>C48/C43</f>
        <v>0.25423310918931996</v>
      </c>
      <c r="F48" s="124">
        <v>2169025900</v>
      </c>
      <c r="G48" s="118">
        <f>F48/F41</f>
        <v>438010.07673667202</v>
      </c>
      <c r="H48" s="121">
        <f>F48/F43</f>
        <v>0.27557542013404479</v>
      </c>
      <c r="I48" s="123">
        <f t="shared" si="4"/>
        <v>50300417.647058822</v>
      </c>
      <c r="J48" s="123">
        <f t="shared" si="5"/>
        <v>160254382.35294119</v>
      </c>
      <c r="K48" s="192"/>
      <c r="L48" s="192"/>
      <c r="M48" s="191"/>
    </row>
    <row r="49" spans="1:13" s="133" customFormat="1" ht="15" x14ac:dyDescent="0.2">
      <c r="A49" s="113">
        <v>9</v>
      </c>
      <c r="B49" s="114" t="s">
        <v>84</v>
      </c>
      <c r="C49" s="124">
        <v>73716170</v>
      </c>
      <c r="D49" s="118">
        <f>C49/C41</f>
        <v>15268.469345484673</v>
      </c>
      <c r="E49" s="121">
        <f>C49/C43</f>
        <v>9.5692456715998891E-3</v>
      </c>
      <c r="F49" s="124">
        <v>73948396</v>
      </c>
      <c r="G49" s="118">
        <f>F49/F41</f>
        <v>14933.03634894992</v>
      </c>
      <c r="H49" s="121">
        <f>F49/F43</f>
        <v>9.3951668792607388E-3</v>
      </c>
      <c r="I49" s="123">
        <f t="shared" si="4"/>
        <v>1893290.1988400994</v>
      </c>
      <c r="J49" s="123">
        <f t="shared" si="5"/>
        <v>-1661064.1988400994</v>
      </c>
      <c r="K49" s="192"/>
      <c r="L49" s="192"/>
      <c r="M49" s="191"/>
    </row>
    <row r="50" spans="1:13" s="133" customFormat="1" ht="15" x14ac:dyDescent="0.2">
      <c r="A50" s="113">
        <v>10</v>
      </c>
      <c r="B50" s="114" t="s">
        <v>88</v>
      </c>
      <c r="C50" s="124">
        <v>75897000</v>
      </c>
      <c r="D50" s="118">
        <f>C50/C41</f>
        <v>15720.173985086993</v>
      </c>
      <c r="E50" s="121">
        <f>C50/C43</f>
        <v>9.8523436409870008E-3</v>
      </c>
      <c r="F50" s="124">
        <v>86214350</v>
      </c>
      <c r="G50" s="118">
        <f>F50/F41</f>
        <v>17410.00605815832</v>
      </c>
      <c r="H50" s="121">
        <f>F50/F43</f>
        <v>1.0953560177789295E-2</v>
      </c>
      <c r="I50" s="123">
        <f t="shared" si="4"/>
        <v>1949301.5741507872</v>
      </c>
      <c r="J50" s="123">
        <f t="shared" si="5"/>
        <v>8368048.4258492123</v>
      </c>
      <c r="K50" s="192"/>
      <c r="L50" s="192"/>
      <c r="M50" s="191"/>
    </row>
    <row r="51" spans="1:13" s="133" customFormat="1" ht="15" x14ac:dyDescent="0.2">
      <c r="A51" s="113">
        <v>11</v>
      </c>
      <c r="B51" s="114" t="s">
        <v>89</v>
      </c>
      <c r="C51" s="118">
        <v>3088437470</v>
      </c>
      <c r="D51" s="118">
        <f>C51/C41</f>
        <v>639692.93082021538</v>
      </c>
      <c r="E51" s="121">
        <f>C51/C43</f>
        <v>0.40091633751189748</v>
      </c>
      <c r="F51" s="118">
        <v>3181293850</v>
      </c>
      <c r="G51" s="118">
        <f>F51/F41</f>
        <v>642426.06017770595</v>
      </c>
      <c r="H51" s="121">
        <f>F51/F43</f>
        <v>0.40418438031726722</v>
      </c>
      <c r="I51" s="123">
        <f t="shared" si="4"/>
        <v>79321923.421706706</v>
      </c>
      <c r="J51" s="123">
        <f t="shared" si="5"/>
        <v>13534456.578293294</v>
      </c>
      <c r="K51" s="192"/>
      <c r="L51" s="192"/>
      <c r="M51" s="191"/>
    </row>
    <row r="52" spans="1:13" s="133" customFormat="1" ht="15" x14ac:dyDescent="0.2">
      <c r="A52" s="113">
        <v>12</v>
      </c>
      <c r="B52" s="114" t="s">
        <v>90</v>
      </c>
      <c r="C52" s="124">
        <v>169821840</v>
      </c>
      <c r="D52" s="118">
        <f>C52/C41</f>
        <v>35174.366197183095</v>
      </c>
      <c r="E52" s="121">
        <f>C52/C43</f>
        <v>2.2044917788907492E-2</v>
      </c>
      <c r="F52" s="124">
        <v>85450260</v>
      </c>
      <c r="G52" s="118">
        <f>F52/F41</f>
        <v>17255.706785137318</v>
      </c>
      <c r="H52" s="121">
        <f>F52/F43</f>
        <v>1.0856482303905804E-2</v>
      </c>
      <c r="I52" s="123">
        <f t="shared" si="4"/>
        <v>4361621.4084507041</v>
      </c>
      <c r="J52" s="123">
        <f t="shared" si="5"/>
        <v>-88733201.408450708</v>
      </c>
      <c r="K52" s="192"/>
      <c r="L52" s="192"/>
      <c r="M52" s="191"/>
    </row>
    <row r="53" spans="1:13" s="133" customFormat="1" ht="15" x14ac:dyDescent="0.2">
      <c r="A53" s="113">
        <v>13</v>
      </c>
      <c r="B53" s="114" t="s">
        <v>91</v>
      </c>
      <c r="C53" s="124">
        <v>98594983</v>
      </c>
      <c r="D53" s="118">
        <f>C53/C41</f>
        <v>20421.496064623032</v>
      </c>
      <c r="E53" s="121">
        <f>C53/C43</f>
        <v>1.2798814891145519E-2</v>
      </c>
      <c r="F53" s="124">
        <v>110860644</v>
      </c>
      <c r="G53" s="118">
        <f>F53/F41</f>
        <v>22387.044426494347</v>
      </c>
      <c r="H53" s="121">
        <f>F53/F43</f>
        <v>1.4084879551982654E-2</v>
      </c>
      <c r="I53" s="123">
        <f t="shared" si="4"/>
        <v>2532265.5120132561</v>
      </c>
      <c r="J53" s="123">
        <f t="shared" si="5"/>
        <v>9733395.4879867435</v>
      </c>
      <c r="K53" s="192"/>
      <c r="L53" s="192"/>
      <c r="M53" s="191"/>
    </row>
    <row r="54" spans="1:13" s="133" customFormat="1" ht="15" x14ac:dyDescent="0.2">
      <c r="A54" s="113">
        <v>14</v>
      </c>
      <c r="B54" s="114" t="s">
        <v>92</v>
      </c>
      <c r="C54" s="124">
        <f>C43-C53</f>
        <v>7604851300</v>
      </c>
      <c r="D54" s="125">
        <f>C54/C41</f>
        <v>1575155.6130903065</v>
      </c>
      <c r="E54" s="126">
        <f>C54/C43</f>
        <v>0.98720118510885446</v>
      </c>
      <c r="F54" s="127">
        <f>F43-F53</f>
        <v>7760036909</v>
      </c>
      <c r="G54" s="125">
        <f>F54/F41</f>
        <v>1567051.072092084</v>
      </c>
      <c r="H54" s="121">
        <f>F54/F43</f>
        <v>0.98591512044801732</v>
      </c>
      <c r="I54" s="123">
        <f t="shared" si="4"/>
        <v>195319296.02319801</v>
      </c>
      <c r="J54" s="123">
        <f t="shared" si="5"/>
        <v>-40133687.023198009</v>
      </c>
      <c r="K54" s="192"/>
      <c r="L54" s="192"/>
      <c r="M54" s="191"/>
    </row>
    <row r="55" spans="1:13" ht="19.899999999999999" customHeight="1" x14ac:dyDescent="0.2">
      <c r="A55" s="101" t="s">
        <v>44</v>
      </c>
      <c r="B55" s="102" t="s">
        <v>100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1:13" ht="15" x14ac:dyDescent="0.2">
      <c r="A56" s="87">
        <v>1</v>
      </c>
      <c r="B56" s="88" t="s">
        <v>77</v>
      </c>
      <c r="C56" s="99">
        <v>17950</v>
      </c>
      <c r="D56" s="94"/>
      <c r="E56" s="100"/>
      <c r="F56" s="99">
        <v>18217</v>
      </c>
      <c r="G56" s="94"/>
      <c r="H56" s="100"/>
      <c r="I56" s="94">
        <f>F56-C56</f>
        <v>267</v>
      </c>
      <c r="J56" s="90"/>
      <c r="K56" s="194">
        <f>F56/9*3</f>
        <v>6072.333333333333</v>
      </c>
      <c r="L56" s="194"/>
      <c r="M56" s="195"/>
    </row>
    <row r="57" spans="1:13" ht="15" x14ac:dyDescent="0.2">
      <c r="A57" s="87">
        <v>2</v>
      </c>
      <c r="B57" s="88" t="s">
        <v>12</v>
      </c>
      <c r="C57" s="89"/>
      <c r="D57" s="92">
        <f>C57/C56</f>
        <v>0</v>
      </c>
      <c r="E57" s="91"/>
      <c r="F57" s="89"/>
      <c r="G57" s="92">
        <f>F57/F56</f>
        <v>0</v>
      </c>
      <c r="H57" s="91"/>
      <c r="I57" s="90"/>
      <c r="J57" s="90"/>
      <c r="K57" s="194"/>
      <c r="L57" s="194"/>
      <c r="M57" s="195"/>
    </row>
    <row r="58" spans="1:13" ht="15" x14ac:dyDescent="0.2">
      <c r="A58" s="87">
        <v>3</v>
      </c>
      <c r="B58" s="88" t="s">
        <v>78</v>
      </c>
      <c r="C58" s="93">
        <f>SUM(C59:C67)</f>
        <v>1515522278</v>
      </c>
      <c r="D58" s="90">
        <f>C58/C56</f>
        <v>84430.210473537605</v>
      </c>
      <c r="E58" s="91"/>
      <c r="F58" s="93">
        <f>SUM(F59:F67)</f>
        <v>1621294135</v>
      </c>
      <c r="G58" s="90">
        <f>F58/F56</f>
        <v>88998.964428830208</v>
      </c>
      <c r="H58" s="91"/>
      <c r="I58" s="94">
        <f>($F$56-$C$56)*D58</f>
        <v>22542866.196434539</v>
      </c>
      <c r="J58" s="94">
        <f t="shared" ref="J58:J69" si="6">F58-C58-I58</f>
        <v>83228990.803565457</v>
      </c>
      <c r="K58" s="194"/>
      <c r="L58" s="194"/>
      <c r="M58" s="195"/>
    </row>
    <row r="59" spans="1:13" ht="15" x14ac:dyDescent="0.2">
      <c r="A59" s="87">
        <v>4</v>
      </c>
      <c r="B59" s="88" t="s">
        <v>79</v>
      </c>
      <c r="C59" s="95"/>
      <c r="D59" s="90">
        <f>C59/C56</f>
        <v>0</v>
      </c>
      <c r="E59" s="91">
        <f>C59/C58</f>
        <v>0</v>
      </c>
      <c r="F59" s="95"/>
      <c r="G59" s="90">
        <f>F59/F56</f>
        <v>0</v>
      </c>
      <c r="H59" s="91">
        <f>F59/F58</f>
        <v>0</v>
      </c>
      <c r="I59" s="94">
        <f t="shared" ref="I59:I69" si="7">($F$56-$C$56)*D59</f>
        <v>0</v>
      </c>
      <c r="J59" s="94">
        <f t="shared" si="6"/>
        <v>0</v>
      </c>
      <c r="K59" s="194"/>
      <c r="L59" s="194"/>
      <c r="M59" s="195"/>
    </row>
    <row r="60" spans="1:13" ht="15" x14ac:dyDescent="0.2">
      <c r="A60" s="87">
        <v>5</v>
      </c>
      <c r="B60" s="88" t="s">
        <v>80</v>
      </c>
      <c r="C60" s="95">
        <v>58940</v>
      </c>
      <c r="D60" s="90">
        <f>C60/C56</f>
        <v>3.2835654596100277</v>
      </c>
      <c r="E60" s="91">
        <f>C60/C58</f>
        <v>3.8890883265524653E-5</v>
      </c>
      <c r="F60" s="95"/>
      <c r="G60" s="90">
        <f>F60/F56</f>
        <v>0</v>
      </c>
      <c r="H60" s="91">
        <f>F60/F58</f>
        <v>0</v>
      </c>
      <c r="I60" s="94">
        <f t="shared" si="7"/>
        <v>876.71197771587742</v>
      </c>
      <c r="J60" s="94">
        <f t="shared" si="6"/>
        <v>-59816.71197771588</v>
      </c>
      <c r="K60" s="194"/>
      <c r="L60" s="194"/>
      <c r="M60" s="195"/>
    </row>
    <row r="61" spans="1:13" ht="15" x14ac:dyDescent="0.2">
      <c r="A61" s="87">
        <v>6</v>
      </c>
      <c r="B61" s="88" t="s">
        <v>81</v>
      </c>
      <c r="C61" s="95">
        <v>1018552800</v>
      </c>
      <c r="D61" s="90">
        <f>C61/C56</f>
        <v>56743.888579387189</v>
      </c>
      <c r="E61" s="91">
        <f>C61/C58</f>
        <v>0.67208038759031685</v>
      </c>
      <c r="F61" s="95">
        <v>1110519459</v>
      </c>
      <c r="G61" s="90">
        <f>F61/F56</f>
        <v>60960.611461821376</v>
      </c>
      <c r="H61" s="91">
        <f>F61/F58</f>
        <v>0.68495866050856957</v>
      </c>
      <c r="I61" s="94">
        <f t="shared" si="7"/>
        <v>15150618.25069638</v>
      </c>
      <c r="J61" s="94">
        <f t="shared" si="6"/>
        <v>76816040.749303624</v>
      </c>
      <c r="K61" s="194">
        <f>J61/K56</f>
        <v>12650.168647302567</v>
      </c>
      <c r="L61" s="194"/>
      <c r="M61" s="191" t="s">
        <v>113</v>
      </c>
    </row>
    <row r="62" spans="1:13" ht="15" x14ac:dyDescent="0.2">
      <c r="A62" s="87">
        <v>7</v>
      </c>
      <c r="B62" s="88" t="s">
        <v>82</v>
      </c>
      <c r="C62" s="95"/>
      <c r="D62" s="90">
        <f>C62/C56</f>
        <v>0</v>
      </c>
      <c r="E62" s="91">
        <f>C62/C58</f>
        <v>0</v>
      </c>
      <c r="F62" s="95"/>
      <c r="G62" s="90">
        <f>F62/F56</f>
        <v>0</v>
      </c>
      <c r="H62" s="91">
        <f>F62/F58</f>
        <v>0</v>
      </c>
      <c r="I62" s="94">
        <f t="shared" si="7"/>
        <v>0</v>
      </c>
      <c r="J62" s="94">
        <f t="shared" si="6"/>
        <v>0</v>
      </c>
      <c r="K62" s="194"/>
      <c r="L62" s="194"/>
      <c r="M62" s="195"/>
    </row>
    <row r="63" spans="1:13" ht="15" x14ac:dyDescent="0.2">
      <c r="A63" s="87">
        <v>8</v>
      </c>
      <c r="B63" s="88" t="s">
        <v>83</v>
      </c>
      <c r="C63" s="95">
        <v>22403920</v>
      </c>
      <c r="D63" s="90">
        <f>C63/C56</f>
        <v>1248.1292479108636</v>
      </c>
      <c r="E63" s="91">
        <f>C63/C58</f>
        <v>1.4782969755856008E-2</v>
      </c>
      <c r="F63" s="95">
        <v>7540400</v>
      </c>
      <c r="G63" s="90">
        <f>F63/F56</f>
        <v>413.92106274359116</v>
      </c>
      <c r="H63" s="91">
        <f>F63/F58</f>
        <v>4.650852573398102E-3</v>
      </c>
      <c r="I63" s="94">
        <f t="shared" si="7"/>
        <v>333250.50919220055</v>
      </c>
      <c r="J63" s="94">
        <f t="shared" si="6"/>
        <v>-15196770.5091922</v>
      </c>
      <c r="K63" s="194"/>
      <c r="L63" s="194"/>
      <c r="M63" s="195"/>
    </row>
    <row r="64" spans="1:13" ht="15" x14ac:dyDescent="0.2">
      <c r="A64" s="87">
        <v>9</v>
      </c>
      <c r="B64" s="88" t="s">
        <v>84</v>
      </c>
      <c r="C64" s="95">
        <v>284368</v>
      </c>
      <c r="D64" s="90">
        <f>C64/C56</f>
        <v>15.842228412256267</v>
      </c>
      <c r="E64" s="91">
        <f>C64/C58</f>
        <v>1.8763696458179021E-4</v>
      </c>
      <c r="F64" s="95">
        <v>254276</v>
      </c>
      <c r="G64" s="90">
        <f>F64/F56</f>
        <v>13.958170939232584</v>
      </c>
      <c r="H64" s="91">
        <f>F64/F58</f>
        <v>1.5683520621629832E-4</v>
      </c>
      <c r="I64" s="94">
        <f t="shared" si="7"/>
        <v>4229.8749860724229</v>
      </c>
      <c r="J64" s="94">
        <f t="shared" si="6"/>
        <v>-34321.87498607242</v>
      </c>
      <c r="K64" s="194"/>
      <c r="L64" s="194"/>
      <c r="M64" s="195"/>
    </row>
    <row r="65" spans="1:13" ht="15" x14ac:dyDescent="0.2">
      <c r="A65" s="87">
        <v>10</v>
      </c>
      <c r="B65" s="88" t="s">
        <v>88</v>
      </c>
      <c r="C65" s="95">
        <v>474222250</v>
      </c>
      <c r="D65" s="90">
        <f>C65/C56</f>
        <v>26419.066852367687</v>
      </c>
      <c r="E65" s="91">
        <f>C65/C58</f>
        <v>0.3129101148059798</v>
      </c>
      <c r="F65" s="95">
        <v>502980000</v>
      </c>
      <c r="G65" s="90">
        <f>F65/F56</f>
        <v>27610.473733326013</v>
      </c>
      <c r="H65" s="91">
        <f>F65/F58</f>
        <v>0.31023365171181599</v>
      </c>
      <c r="I65" s="94">
        <f t="shared" si="7"/>
        <v>7053890.849582172</v>
      </c>
      <c r="J65" s="94">
        <f t="shared" si="6"/>
        <v>21703859.150417827</v>
      </c>
      <c r="K65" s="194"/>
      <c r="L65" s="194"/>
      <c r="M65" s="195"/>
    </row>
    <row r="66" spans="1:13" ht="15" x14ac:dyDescent="0.2">
      <c r="A66" s="87">
        <v>11</v>
      </c>
      <c r="B66" s="88" t="s">
        <v>89</v>
      </c>
      <c r="C66" s="90"/>
      <c r="D66" s="90">
        <f>C66/C56</f>
        <v>0</v>
      </c>
      <c r="E66" s="91">
        <f>C66/C58</f>
        <v>0</v>
      </c>
      <c r="F66" s="90"/>
      <c r="G66" s="90">
        <f>F66/F56</f>
        <v>0</v>
      </c>
      <c r="H66" s="91">
        <f>F66/F58</f>
        <v>0</v>
      </c>
      <c r="I66" s="94">
        <f t="shared" si="7"/>
        <v>0</v>
      </c>
      <c r="J66" s="94">
        <f t="shared" si="6"/>
        <v>0</v>
      </c>
      <c r="K66" s="194"/>
      <c r="L66" s="194"/>
      <c r="M66" s="195"/>
    </row>
    <row r="67" spans="1:13" ht="15" x14ac:dyDescent="0.2">
      <c r="A67" s="87">
        <v>12</v>
      </c>
      <c r="B67" s="88" t="s">
        <v>90</v>
      </c>
      <c r="C67" s="95"/>
      <c r="D67" s="90">
        <f>C67/C56</f>
        <v>0</v>
      </c>
      <c r="E67" s="91">
        <f>C67/C58</f>
        <v>0</v>
      </c>
      <c r="F67" s="95"/>
      <c r="G67" s="90">
        <f>F67/F56</f>
        <v>0</v>
      </c>
      <c r="H67" s="91">
        <f>F67/F58</f>
        <v>0</v>
      </c>
      <c r="I67" s="94">
        <f t="shared" si="7"/>
        <v>0</v>
      </c>
      <c r="J67" s="94">
        <f t="shared" si="6"/>
        <v>0</v>
      </c>
      <c r="K67" s="194"/>
      <c r="L67" s="194"/>
      <c r="M67" s="195"/>
    </row>
    <row r="68" spans="1:13" ht="15" x14ac:dyDescent="0.2">
      <c r="A68" s="87">
        <v>13</v>
      </c>
      <c r="B68" s="88" t="s">
        <v>91</v>
      </c>
      <c r="C68" s="95"/>
      <c r="D68" s="90">
        <f>C68/C56</f>
        <v>0</v>
      </c>
      <c r="E68" s="91">
        <f>C68/C58</f>
        <v>0</v>
      </c>
      <c r="F68" s="95"/>
      <c r="G68" s="90">
        <f>F68/F56</f>
        <v>0</v>
      </c>
      <c r="H68" s="91">
        <f>F68/F58</f>
        <v>0</v>
      </c>
      <c r="I68" s="94">
        <f t="shared" si="7"/>
        <v>0</v>
      </c>
      <c r="J68" s="94">
        <f t="shared" si="6"/>
        <v>0</v>
      </c>
      <c r="K68" s="194"/>
      <c r="L68" s="194"/>
      <c r="M68" s="195"/>
    </row>
    <row r="69" spans="1:13" ht="15" x14ac:dyDescent="0.2">
      <c r="A69" s="87">
        <v>14</v>
      </c>
      <c r="B69" s="88" t="s">
        <v>92</v>
      </c>
      <c r="C69" s="95">
        <f>C58-C68</f>
        <v>1515522278</v>
      </c>
      <c r="D69" s="104">
        <f>C69/C56</f>
        <v>84430.210473537605</v>
      </c>
      <c r="E69" s="105">
        <f>C69/C58</f>
        <v>1</v>
      </c>
      <c r="F69" s="106">
        <f>F58-F68</f>
        <v>1621294135</v>
      </c>
      <c r="G69" s="104">
        <f>F69/F56</f>
        <v>88998.964428830208</v>
      </c>
      <c r="H69" s="91">
        <f>F69/F58</f>
        <v>1</v>
      </c>
      <c r="I69" s="94">
        <f t="shared" si="7"/>
        <v>22542866.196434539</v>
      </c>
      <c r="J69" s="94">
        <f t="shared" si="6"/>
        <v>83228990.803565457</v>
      </c>
      <c r="K69" s="194"/>
      <c r="L69" s="194"/>
      <c r="M69" s="195"/>
    </row>
    <row r="70" spans="1:13" s="134" customFormat="1" ht="28.15" customHeight="1" x14ac:dyDescent="0.2">
      <c r="A70" s="139" t="s">
        <v>102</v>
      </c>
      <c r="B70" s="139"/>
      <c r="C70" s="135">
        <f>C24+C39+C54+C69</f>
        <v>13309208584</v>
      </c>
      <c r="D70" s="135"/>
      <c r="E70" s="135"/>
      <c r="F70" s="135">
        <f t="shared" ref="F70" si="8">F24+F39+F54+F69</f>
        <v>14131212147</v>
      </c>
      <c r="G70" s="135"/>
      <c r="H70" s="135"/>
      <c r="I70" s="135"/>
      <c r="J70" s="135"/>
      <c r="K70" s="135"/>
      <c r="L70" s="135"/>
      <c r="M70" s="135"/>
    </row>
    <row r="71" spans="1:13" ht="22.9" customHeight="1" x14ac:dyDescent="0.2">
      <c r="A71" s="140" t="s">
        <v>103</v>
      </c>
      <c r="B71" s="141"/>
      <c r="C71" s="136"/>
      <c r="D71" s="136"/>
      <c r="E71" s="136"/>
      <c r="F71" s="137">
        <v>17400000000</v>
      </c>
      <c r="G71" s="136"/>
      <c r="H71" s="136"/>
      <c r="I71" s="136"/>
      <c r="J71" s="136"/>
      <c r="K71" s="136"/>
      <c r="L71" s="136"/>
      <c r="M71" s="136"/>
    </row>
    <row r="72" spans="1:13" ht="21" customHeight="1" x14ac:dyDescent="0.2">
      <c r="A72" s="142" t="s">
        <v>104</v>
      </c>
      <c r="B72" s="143"/>
      <c r="C72" s="136"/>
      <c r="D72" s="136"/>
      <c r="E72" s="136"/>
      <c r="F72" s="138">
        <f>F71-F70</f>
        <v>3268787853</v>
      </c>
      <c r="G72" s="136"/>
      <c r="H72" s="136"/>
      <c r="I72" s="136"/>
      <c r="J72" s="136"/>
      <c r="K72" s="136"/>
      <c r="L72" s="136"/>
      <c r="M72" s="136"/>
    </row>
  </sheetData>
  <mergeCells count="13">
    <mergeCell ref="K7:K8"/>
    <mergeCell ref="L7:L8"/>
    <mergeCell ref="M7:M8"/>
    <mergeCell ref="A70:B70"/>
    <mergeCell ref="A71:B71"/>
    <mergeCell ref="A72:B72"/>
    <mergeCell ref="B1:E1"/>
    <mergeCell ref="B2:E2"/>
    <mergeCell ref="B4:J4"/>
    <mergeCell ref="B5:J5"/>
    <mergeCell ref="C7:E7"/>
    <mergeCell ref="F7:H7"/>
    <mergeCell ref="I7:J7"/>
  </mergeCells>
  <pageMargins left="0.28999999999999998" right="0.21" top="0.2" bottom="0.23" header="0.16" footer="0.15"/>
  <pageSetup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pane ySplit="8" topLeftCell="A16" activePane="bottomLeft" state="frozen"/>
      <selection pane="bottomLeft" activeCell="V22" sqref="V22"/>
    </sheetView>
  </sheetViews>
  <sheetFormatPr defaultColWidth="8.875" defaultRowHeight="15" x14ac:dyDescent="0.25"/>
  <cols>
    <col min="1" max="1" width="3.375" style="1" customWidth="1"/>
    <col min="2" max="2" width="11.5" style="1" customWidth="1"/>
    <col min="3" max="4" width="7.75" style="1" customWidth="1"/>
    <col min="5" max="5" width="6.625" style="1" customWidth="1"/>
    <col min="6" max="6" width="6.875" style="1" customWidth="1"/>
    <col min="7" max="8" width="7.5" style="1" customWidth="1"/>
    <col min="9" max="9" width="7.25" style="1" customWidth="1"/>
    <col min="10" max="10" width="7.75" style="1" customWidth="1"/>
    <col min="11" max="11" width="7.5" style="1" customWidth="1"/>
    <col min="12" max="12" width="7.75" style="1" customWidth="1"/>
    <col min="13" max="13" width="7.625" style="1" customWidth="1"/>
    <col min="14" max="14" width="7.75" style="1" customWidth="1"/>
    <col min="15" max="15" width="8.375" style="1" customWidth="1"/>
    <col min="16" max="16" width="6.125" style="1" customWidth="1"/>
    <col min="17" max="17" width="4.375" style="1" customWidth="1"/>
    <col min="18" max="18" width="8.75" style="1" customWidth="1"/>
    <col min="19" max="19" width="6.375" style="1" customWidth="1"/>
    <col min="20" max="20" width="4.625" style="1" customWidth="1"/>
    <col min="21" max="21" width="7.75" style="1" customWidth="1"/>
    <col min="22" max="22" width="14.75" style="1" bestFit="1" customWidth="1"/>
    <col min="23" max="23" width="14.75" style="1" customWidth="1"/>
    <col min="24" max="24" width="11.375" style="1" customWidth="1"/>
    <col min="25" max="26" width="8.875" style="1"/>
    <col min="27" max="27" width="9.875" style="1" customWidth="1"/>
    <col min="28" max="29" width="8.875" style="1"/>
    <col min="30" max="30" width="11" style="1" customWidth="1"/>
    <col min="31" max="16384" width="8.875" style="1"/>
  </cols>
  <sheetData>
    <row r="1" spans="1:30" x14ac:dyDescent="0.25">
      <c r="A1" s="1" t="s">
        <v>0</v>
      </c>
    </row>
    <row r="2" spans="1:30" x14ac:dyDescent="0.25">
      <c r="A2" s="2" t="s">
        <v>1</v>
      </c>
    </row>
    <row r="4" spans="1:30" ht="20.25" x14ac:dyDescent="0.3">
      <c r="D4" s="8" t="s">
        <v>66</v>
      </c>
      <c r="O4" s="16"/>
      <c r="P4" s="16"/>
      <c r="Q4" s="16"/>
      <c r="R4" s="17"/>
      <c r="S4" s="16"/>
      <c r="T4" s="17"/>
    </row>
    <row r="5" spans="1:30" x14ac:dyDescent="0.25">
      <c r="O5" s="18"/>
      <c r="P5" s="18"/>
      <c r="Q5" s="18"/>
      <c r="R5" s="18"/>
      <c r="S5" s="18"/>
      <c r="T5" s="18"/>
    </row>
    <row r="6" spans="1:30" s="3" customFormat="1" ht="23.45" customHeight="1" x14ac:dyDescent="0.25">
      <c r="A6" s="162" t="s">
        <v>3</v>
      </c>
      <c r="B6" s="163" t="s">
        <v>4</v>
      </c>
      <c r="C6" s="164" t="s">
        <v>39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  <c r="O6" s="167" t="s">
        <v>29</v>
      </c>
      <c r="P6" s="168"/>
      <c r="Q6" s="168"/>
      <c r="R6" s="168"/>
      <c r="S6" s="168"/>
      <c r="T6" s="168"/>
      <c r="U6" s="169"/>
    </row>
    <row r="7" spans="1:30" s="3" customFormat="1" ht="22.15" customHeight="1" x14ac:dyDescent="0.25">
      <c r="A7" s="162"/>
      <c r="B7" s="163"/>
      <c r="C7" s="170" t="s">
        <v>6</v>
      </c>
      <c r="D7" s="170"/>
      <c r="E7" s="170" t="s">
        <v>49</v>
      </c>
      <c r="F7" s="170"/>
      <c r="G7" s="170" t="s">
        <v>7</v>
      </c>
      <c r="H7" s="170"/>
      <c r="I7" s="170" t="s">
        <v>8</v>
      </c>
      <c r="J7" s="170"/>
      <c r="K7" s="152" t="s">
        <v>48</v>
      </c>
      <c r="L7" s="153"/>
      <c r="M7" s="152" t="s">
        <v>50</v>
      </c>
      <c r="N7" s="153"/>
      <c r="O7" s="154" t="s">
        <v>62</v>
      </c>
      <c r="P7" s="158" t="s">
        <v>65</v>
      </c>
      <c r="Q7" s="160" t="s">
        <v>52</v>
      </c>
      <c r="R7" s="154" t="s">
        <v>63</v>
      </c>
      <c r="S7" s="158" t="s">
        <v>64</v>
      </c>
      <c r="T7" s="160" t="s">
        <v>52</v>
      </c>
      <c r="U7" s="154" t="s">
        <v>53</v>
      </c>
    </row>
    <row r="8" spans="1:30" s="3" customFormat="1" ht="57.6" customHeight="1" x14ac:dyDescent="0.25">
      <c r="A8" s="162"/>
      <c r="B8" s="163"/>
      <c r="C8" s="54">
        <v>2019</v>
      </c>
      <c r="D8" s="54">
        <v>2020</v>
      </c>
      <c r="E8" s="54">
        <v>2019</v>
      </c>
      <c r="F8" s="54">
        <v>2020</v>
      </c>
      <c r="G8" s="54">
        <v>2019</v>
      </c>
      <c r="H8" s="54">
        <v>2020</v>
      </c>
      <c r="I8" s="54">
        <v>2019</v>
      </c>
      <c r="J8" s="54">
        <v>2020</v>
      </c>
      <c r="K8" s="54">
        <v>2019</v>
      </c>
      <c r="L8" s="54">
        <v>2020</v>
      </c>
      <c r="M8" s="54">
        <v>2019</v>
      </c>
      <c r="N8" s="54">
        <v>2020</v>
      </c>
      <c r="O8" s="155"/>
      <c r="P8" s="159"/>
      <c r="Q8" s="161"/>
      <c r="R8" s="155"/>
      <c r="S8" s="159"/>
      <c r="T8" s="161"/>
      <c r="U8" s="155"/>
    </row>
    <row r="9" spans="1:30" s="3" customFormat="1" ht="18.600000000000001" customHeigh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56" t="s">
        <v>59</v>
      </c>
      <c r="P9" s="13">
        <v>16</v>
      </c>
      <c r="Q9" s="13">
        <v>17</v>
      </c>
      <c r="R9" s="56" t="s">
        <v>60</v>
      </c>
      <c r="S9" s="13">
        <v>19</v>
      </c>
      <c r="T9" s="13">
        <v>20</v>
      </c>
      <c r="U9" s="13" t="s">
        <v>61</v>
      </c>
    </row>
    <row r="10" spans="1:30" s="57" customFormat="1" ht="18.600000000000001" customHeight="1" x14ac:dyDescent="0.2">
      <c r="A10" s="55" t="s">
        <v>44</v>
      </c>
      <c r="B10" s="55" t="s">
        <v>45</v>
      </c>
      <c r="C10" s="71">
        <f>SUM(C13:C21)</f>
        <v>442495009</v>
      </c>
      <c r="D10" s="71">
        <f t="shared" ref="D10:M10" si="0">SUM(D13:D21)</f>
        <v>385375703</v>
      </c>
      <c r="E10" s="71">
        <f t="shared" si="0"/>
        <v>6901300</v>
      </c>
      <c r="F10" s="71">
        <f t="shared" si="0"/>
        <v>14429150</v>
      </c>
      <c r="G10" s="71">
        <f t="shared" si="0"/>
        <v>3599069</v>
      </c>
      <c r="H10" s="71">
        <f t="shared" si="0"/>
        <v>144226527</v>
      </c>
      <c r="I10" s="71">
        <f t="shared" si="0"/>
        <v>122000</v>
      </c>
      <c r="J10" s="71">
        <f t="shared" si="0"/>
        <v>30500</v>
      </c>
      <c r="K10" s="71">
        <f t="shared" si="0"/>
        <v>22769405</v>
      </c>
      <c r="L10" s="71">
        <f t="shared" si="0"/>
        <v>24043278</v>
      </c>
      <c r="M10" s="71">
        <f t="shared" si="0"/>
        <v>305000</v>
      </c>
      <c r="N10" s="71">
        <f>SUM(N13:N21)</f>
        <v>122000</v>
      </c>
      <c r="O10" s="71">
        <f>SUM(O13:O21)</f>
        <v>476191783</v>
      </c>
      <c r="P10" s="71">
        <f>O10/$O$11</f>
        <v>180170.93567915249</v>
      </c>
      <c r="Q10" s="71"/>
      <c r="R10" s="71">
        <f t="shared" ref="R10:U10" si="1">SUM(R13:R21)</f>
        <v>568227158</v>
      </c>
      <c r="S10" s="71">
        <f>R10/$R$11</f>
        <v>224684.52273625939</v>
      </c>
      <c r="T10" s="71"/>
      <c r="U10" s="71">
        <f t="shared" si="1"/>
        <v>92035375</v>
      </c>
    </row>
    <row r="11" spans="1:30" s="60" customFormat="1" ht="21" customHeight="1" x14ac:dyDescent="0.2">
      <c r="A11" s="58">
        <v>1</v>
      </c>
      <c r="B11" s="59" t="s">
        <v>11</v>
      </c>
      <c r="C11" s="67">
        <v>2291</v>
      </c>
      <c r="D11" s="67">
        <v>2038</v>
      </c>
      <c r="E11" s="67">
        <v>209</v>
      </c>
      <c r="F11" s="67">
        <v>214</v>
      </c>
      <c r="G11" s="67">
        <v>16</v>
      </c>
      <c r="H11" s="67">
        <v>126</v>
      </c>
      <c r="I11" s="67">
        <v>4</v>
      </c>
      <c r="J11" s="67">
        <v>1</v>
      </c>
      <c r="K11" s="67">
        <v>113</v>
      </c>
      <c r="L11" s="67">
        <v>146</v>
      </c>
      <c r="M11" s="67">
        <v>10</v>
      </c>
      <c r="N11" s="67">
        <v>4</v>
      </c>
      <c r="O11" s="68">
        <f>C11+E11+G11+I11+K11+M11</f>
        <v>2643</v>
      </c>
      <c r="P11" s="68"/>
      <c r="Q11" s="68"/>
      <c r="R11" s="68">
        <f>D11+F11+H11+J11+L11+N11</f>
        <v>2529</v>
      </c>
      <c r="S11" s="68"/>
      <c r="T11" s="68"/>
      <c r="U11" s="68">
        <f>R11-O11</f>
        <v>-114</v>
      </c>
    </row>
    <row r="12" spans="1:30" s="60" customFormat="1" ht="21" customHeight="1" x14ac:dyDescent="0.2">
      <c r="A12" s="58">
        <v>2</v>
      </c>
      <c r="B12" s="59" t="s">
        <v>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8">
        <f t="shared" ref="O12:O21" si="2">C12+E12+G12+I12+K12+M12</f>
        <v>0</v>
      </c>
      <c r="P12" s="68"/>
      <c r="Q12" s="68"/>
      <c r="R12" s="68">
        <f t="shared" ref="R12:R21" si="3">D12+F12+H12+J12+L12+N12</f>
        <v>0</v>
      </c>
      <c r="S12" s="68"/>
      <c r="T12" s="68"/>
      <c r="U12" s="68">
        <f t="shared" ref="U12:U21" si="4">R12-O12</f>
        <v>0</v>
      </c>
    </row>
    <row r="13" spans="1:30" s="60" customFormat="1" ht="21" customHeight="1" x14ac:dyDescent="0.2">
      <c r="A13" s="58">
        <v>3</v>
      </c>
      <c r="B13" s="59" t="s">
        <v>13</v>
      </c>
      <c r="C13" s="67">
        <v>62192500</v>
      </c>
      <c r="D13" s="67">
        <v>78042600</v>
      </c>
      <c r="E13" s="67">
        <v>526800</v>
      </c>
      <c r="F13" s="67">
        <v>7543600</v>
      </c>
      <c r="G13" s="67">
        <v>229400</v>
      </c>
      <c r="H13" s="67">
        <v>448400</v>
      </c>
      <c r="I13" s="67"/>
      <c r="J13" s="67"/>
      <c r="K13" s="67">
        <v>7805300</v>
      </c>
      <c r="L13" s="67">
        <v>8773500</v>
      </c>
      <c r="M13" s="67"/>
      <c r="N13" s="67"/>
      <c r="O13" s="68">
        <f t="shared" si="2"/>
        <v>70754000</v>
      </c>
      <c r="P13" s="68">
        <f>O13/$O$11</f>
        <v>26770.336738554674</v>
      </c>
      <c r="Q13" s="69">
        <f>O13/$O$10*100</f>
        <v>14.858299224369439</v>
      </c>
      <c r="R13" s="68">
        <f t="shared" si="3"/>
        <v>94808100</v>
      </c>
      <c r="S13" s="68">
        <f>R13/$R$11</f>
        <v>37488.374851720051</v>
      </c>
      <c r="T13" s="70">
        <f>R13/$R$10*100</f>
        <v>16.684894177479634</v>
      </c>
      <c r="U13" s="68">
        <f t="shared" si="4"/>
        <v>24054100</v>
      </c>
      <c r="AD13" s="61"/>
    </row>
    <row r="14" spans="1:30" s="60" customFormat="1" ht="21" customHeight="1" x14ac:dyDescent="0.2">
      <c r="A14" s="58">
        <v>4</v>
      </c>
      <c r="B14" s="59" t="s">
        <v>14</v>
      </c>
      <c r="C14" s="67">
        <v>59779600</v>
      </c>
      <c r="D14" s="67">
        <v>47658500</v>
      </c>
      <c r="E14" s="67"/>
      <c r="F14" s="67">
        <v>181600</v>
      </c>
      <c r="G14" s="67">
        <v>1157900</v>
      </c>
      <c r="H14" s="67">
        <v>8396500</v>
      </c>
      <c r="I14" s="67"/>
      <c r="J14" s="67"/>
      <c r="K14" s="67">
        <v>4659400</v>
      </c>
      <c r="L14" s="67">
        <v>5399700</v>
      </c>
      <c r="M14" s="67"/>
      <c r="N14" s="67"/>
      <c r="O14" s="68">
        <f t="shared" si="2"/>
        <v>65596900</v>
      </c>
      <c r="P14" s="68">
        <f t="shared" ref="P14:P21" si="5">O14/$O$11</f>
        <v>24819.107075293228</v>
      </c>
      <c r="Q14" s="69">
        <f t="shared" ref="Q14:Q21" si="6">O14/$O$10*100</f>
        <v>13.775311196413483</v>
      </c>
      <c r="R14" s="68">
        <f t="shared" si="3"/>
        <v>61636300</v>
      </c>
      <c r="S14" s="68">
        <f t="shared" ref="S14:S21" si="7">R14/$R$11</f>
        <v>24371.80703835508</v>
      </c>
      <c r="T14" s="70">
        <f t="shared" ref="T14:T21" si="8">R14/$R$10*100</f>
        <v>10.84712322039349</v>
      </c>
      <c r="U14" s="68">
        <f t="shared" si="4"/>
        <v>-3960600</v>
      </c>
      <c r="AD14" s="61"/>
    </row>
    <row r="15" spans="1:30" s="60" customFormat="1" ht="21" customHeight="1" x14ac:dyDescent="0.2">
      <c r="A15" s="58">
        <v>5</v>
      </c>
      <c r="B15" s="59" t="s">
        <v>17</v>
      </c>
      <c r="C15" s="67">
        <v>15911400</v>
      </c>
      <c r="D15" s="67">
        <v>28086800</v>
      </c>
      <c r="E15" s="67"/>
      <c r="F15" s="67"/>
      <c r="G15" s="67"/>
      <c r="H15" s="67">
        <v>110865200</v>
      </c>
      <c r="I15" s="67"/>
      <c r="J15" s="67"/>
      <c r="K15" s="67">
        <v>984000</v>
      </c>
      <c r="L15" s="67">
        <v>729000</v>
      </c>
      <c r="M15" s="67"/>
      <c r="N15" s="67"/>
      <c r="O15" s="68">
        <f t="shared" si="2"/>
        <v>16895400</v>
      </c>
      <c r="P15" s="68">
        <f t="shared" si="5"/>
        <v>6392.5085130533489</v>
      </c>
      <c r="Q15" s="69">
        <f t="shared" si="6"/>
        <v>3.5480242631570147</v>
      </c>
      <c r="R15" s="68">
        <f t="shared" si="3"/>
        <v>139681000</v>
      </c>
      <c r="S15" s="68">
        <f t="shared" si="7"/>
        <v>55231.712139185445</v>
      </c>
      <c r="T15" s="70">
        <f t="shared" si="8"/>
        <v>24.581894412023157</v>
      </c>
      <c r="U15" s="68">
        <f t="shared" si="4"/>
        <v>122785600</v>
      </c>
      <c r="AD15" s="61"/>
    </row>
    <row r="16" spans="1:30" s="60" customFormat="1" ht="21" customHeight="1" x14ac:dyDescent="0.2">
      <c r="A16" s="58">
        <v>6</v>
      </c>
      <c r="B16" s="59" t="s">
        <v>19</v>
      </c>
      <c r="C16" s="67">
        <v>69875500</v>
      </c>
      <c r="D16" s="67">
        <v>62159000</v>
      </c>
      <c r="E16" s="67">
        <v>6374500</v>
      </c>
      <c r="F16" s="67">
        <v>6527000</v>
      </c>
      <c r="G16" s="67">
        <v>488000</v>
      </c>
      <c r="H16" s="67">
        <v>2196000</v>
      </c>
      <c r="I16" s="67">
        <v>122000</v>
      </c>
      <c r="J16" s="67">
        <v>30500</v>
      </c>
      <c r="K16" s="67">
        <v>3446500</v>
      </c>
      <c r="L16" s="67">
        <v>4431650</v>
      </c>
      <c r="M16" s="67">
        <v>305000</v>
      </c>
      <c r="N16" s="67">
        <v>122000</v>
      </c>
      <c r="O16" s="68">
        <f t="shared" si="2"/>
        <v>80611500</v>
      </c>
      <c r="P16" s="68">
        <f t="shared" si="5"/>
        <v>30500</v>
      </c>
      <c r="Q16" s="69">
        <f t="shared" si="6"/>
        <v>16.928368543478207</v>
      </c>
      <c r="R16" s="68">
        <f t="shared" si="3"/>
        <v>75466150</v>
      </c>
      <c r="S16" s="68">
        <f t="shared" si="7"/>
        <v>29840.312376433372</v>
      </c>
      <c r="T16" s="70">
        <f t="shared" si="8"/>
        <v>13.280982603087759</v>
      </c>
      <c r="U16" s="68">
        <f t="shared" si="4"/>
        <v>-5145350</v>
      </c>
      <c r="AD16" s="61"/>
    </row>
    <row r="17" spans="1:30" s="60" customFormat="1" ht="21" customHeight="1" x14ac:dyDescent="0.2">
      <c r="A17" s="58">
        <v>7</v>
      </c>
      <c r="B17" s="59" t="s">
        <v>20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>
        <f t="shared" si="2"/>
        <v>0</v>
      </c>
      <c r="P17" s="68">
        <f t="shared" si="5"/>
        <v>0</v>
      </c>
      <c r="Q17" s="69">
        <f t="shared" si="6"/>
        <v>0</v>
      </c>
      <c r="R17" s="68">
        <f t="shared" si="3"/>
        <v>0</v>
      </c>
      <c r="S17" s="68">
        <f t="shared" si="7"/>
        <v>0</v>
      </c>
      <c r="T17" s="70">
        <f t="shared" si="8"/>
        <v>0</v>
      </c>
      <c r="U17" s="68">
        <f t="shared" si="4"/>
        <v>0</v>
      </c>
      <c r="V17" s="62"/>
      <c r="AD17" s="61"/>
    </row>
    <row r="18" spans="1:30" s="60" customFormat="1" ht="21" customHeight="1" x14ac:dyDescent="0.2">
      <c r="A18" s="58">
        <v>8</v>
      </c>
      <c r="B18" s="59" t="s">
        <v>15</v>
      </c>
      <c r="C18" s="67">
        <v>234736009</v>
      </c>
      <c r="D18" s="67">
        <v>169428803</v>
      </c>
      <c r="E18" s="67"/>
      <c r="F18" s="67">
        <v>176950</v>
      </c>
      <c r="G18" s="67">
        <v>1723769</v>
      </c>
      <c r="H18" s="67">
        <v>21936523</v>
      </c>
      <c r="I18" s="67"/>
      <c r="J18" s="67"/>
      <c r="K18" s="67">
        <v>5874205</v>
      </c>
      <c r="L18" s="67">
        <v>4709428</v>
      </c>
      <c r="M18" s="67"/>
      <c r="N18" s="67"/>
      <c r="O18" s="68">
        <f t="shared" si="2"/>
        <v>242333983</v>
      </c>
      <c r="P18" s="68">
        <f t="shared" si="5"/>
        <v>91688.983352251234</v>
      </c>
      <c r="Q18" s="69">
        <f t="shared" si="6"/>
        <v>50.88999677258186</v>
      </c>
      <c r="R18" s="68">
        <f t="shared" si="3"/>
        <v>196251704</v>
      </c>
      <c r="S18" s="68">
        <f t="shared" si="7"/>
        <v>77600.515618821664</v>
      </c>
      <c r="T18" s="70">
        <f t="shared" si="8"/>
        <v>34.537543874310913</v>
      </c>
      <c r="U18" s="68">
        <f t="shared" si="4"/>
        <v>-46082279</v>
      </c>
      <c r="V18" s="63"/>
      <c r="W18" s="63"/>
    </row>
    <row r="19" spans="1:30" s="60" customFormat="1" ht="21" customHeight="1" x14ac:dyDescent="0.2">
      <c r="A19" s="58">
        <v>9</v>
      </c>
      <c r="B19" s="59" t="s">
        <v>16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>
        <f t="shared" si="2"/>
        <v>0</v>
      </c>
      <c r="P19" s="68">
        <f t="shared" si="5"/>
        <v>0</v>
      </c>
      <c r="Q19" s="69">
        <f t="shared" si="6"/>
        <v>0</v>
      </c>
      <c r="R19" s="68">
        <f t="shared" si="3"/>
        <v>0</v>
      </c>
      <c r="S19" s="68">
        <f t="shared" si="7"/>
        <v>0</v>
      </c>
      <c r="T19" s="70">
        <f t="shared" si="8"/>
        <v>0</v>
      </c>
      <c r="U19" s="68">
        <f t="shared" si="4"/>
        <v>0</v>
      </c>
    </row>
    <row r="20" spans="1:30" s="60" customFormat="1" ht="21" customHeight="1" x14ac:dyDescent="0.2">
      <c r="A20" s="58">
        <v>10</v>
      </c>
      <c r="B20" s="59" t="s">
        <v>24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>
        <f t="shared" si="2"/>
        <v>0</v>
      </c>
      <c r="P20" s="68">
        <f t="shared" si="5"/>
        <v>0</v>
      </c>
      <c r="Q20" s="69">
        <f t="shared" si="6"/>
        <v>0</v>
      </c>
      <c r="R20" s="68">
        <f t="shared" si="3"/>
        <v>0</v>
      </c>
      <c r="S20" s="68">
        <f t="shared" si="7"/>
        <v>0</v>
      </c>
      <c r="T20" s="70">
        <f t="shared" si="8"/>
        <v>0</v>
      </c>
      <c r="U20" s="68">
        <f t="shared" si="4"/>
        <v>0</v>
      </c>
    </row>
    <row r="21" spans="1:30" s="60" customFormat="1" ht="21" customHeight="1" x14ac:dyDescent="0.2">
      <c r="A21" s="58">
        <v>11</v>
      </c>
      <c r="B21" s="59" t="s">
        <v>18</v>
      </c>
      <c r="C21" s="67"/>
      <c r="D21" s="67"/>
      <c r="E21" s="67"/>
      <c r="F21" s="67"/>
      <c r="G21" s="67"/>
      <c r="H21" s="67">
        <v>383904</v>
      </c>
      <c r="I21" s="67"/>
      <c r="J21" s="67"/>
      <c r="K21" s="67"/>
      <c r="L21" s="67"/>
      <c r="M21" s="67"/>
      <c r="N21" s="67"/>
      <c r="O21" s="68">
        <f t="shared" si="2"/>
        <v>0</v>
      </c>
      <c r="P21" s="68">
        <f t="shared" si="5"/>
        <v>0</v>
      </c>
      <c r="Q21" s="69">
        <f t="shared" si="6"/>
        <v>0</v>
      </c>
      <c r="R21" s="68">
        <f t="shared" si="3"/>
        <v>383904</v>
      </c>
      <c r="S21" s="68">
        <f t="shared" si="7"/>
        <v>151.80071174377224</v>
      </c>
      <c r="T21" s="70">
        <f t="shared" si="8"/>
        <v>6.7561712705044616E-2</v>
      </c>
      <c r="U21" s="68">
        <f t="shared" si="4"/>
        <v>383904</v>
      </c>
    </row>
    <row r="22" spans="1:30" s="57" customFormat="1" ht="18.600000000000001" customHeight="1" x14ac:dyDescent="0.2">
      <c r="A22" s="55" t="s">
        <v>46</v>
      </c>
      <c r="B22" s="55" t="s">
        <v>47</v>
      </c>
      <c r="C22" s="71">
        <f>SUM(C25:C33)</f>
        <v>0</v>
      </c>
      <c r="D22" s="71">
        <f t="shared" ref="D22:U22" si="9">SUM(D25:D33)</f>
        <v>0</v>
      </c>
      <c r="E22" s="71">
        <f t="shared" si="9"/>
        <v>0</v>
      </c>
      <c r="F22" s="71">
        <f t="shared" si="9"/>
        <v>0</v>
      </c>
      <c r="G22" s="71">
        <f t="shared" si="9"/>
        <v>147755941</v>
      </c>
      <c r="H22" s="71">
        <f t="shared" si="9"/>
        <v>58980906</v>
      </c>
      <c r="I22" s="71">
        <f t="shared" si="9"/>
        <v>320911183</v>
      </c>
      <c r="J22" s="71">
        <f t="shared" si="9"/>
        <v>376257925</v>
      </c>
      <c r="K22" s="71">
        <f t="shared" si="9"/>
        <v>187829155</v>
      </c>
      <c r="L22" s="71">
        <f t="shared" si="9"/>
        <v>155689115</v>
      </c>
      <c r="M22" s="71">
        <f t="shared" si="9"/>
        <v>249139243</v>
      </c>
      <c r="N22" s="71">
        <f t="shared" si="9"/>
        <v>213127031</v>
      </c>
      <c r="O22" s="71">
        <f t="shared" si="9"/>
        <v>905635522</v>
      </c>
      <c r="P22" s="71">
        <f>O22/$O$23</f>
        <v>1597240.7795414461</v>
      </c>
      <c r="Q22" s="72"/>
      <c r="R22" s="71">
        <f t="shared" si="9"/>
        <v>804054977</v>
      </c>
      <c r="S22" s="71">
        <f>R22/$R$23</f>
        <v>1502906.4990654206</v>
      </c>
      <c r="T22" s="71"/>
      <c r="U22" s="71">
        <f t="shared" si="9"/>
        <v>-101580545</v>
      </c>
    </row>
    <row r="23" spans="1:30" s="60" customFormat="1" ht="21" customHeight="1" x14ac:dyDescent="0.2">
      <c r="A23" s="58">
        <v>1</v>
      </c>
      <c r="B23" s="59" t="s">
        <v>11</v>
      </c>
      <c r="C23" s="67"/>
      <c r="D23" s="67"/>
      <c r="E23" s="67"/>
      <c r="F23" s="67"/>
      <c r="G23" s="67">
        <v>49</v>
      </c>
      <c r="H23" s="67">
        <v>18</v>
      </c>
      <c r="I23" s="67">
        <v>270</v>
      </c>
      <c r="J23" s="67">
        <v>322</v>
      </c>
      <c r="K23" s="67">
        <v>82</v>
      </c>
      <c r="L23" s="67">
        <v>79</v>
      </c>
      <c r="M23" s="67">
        <v>166</v>
      </c>
      <c r="N23" s="67">
        <v>116</v>
      </c>
      <c r="O23" s="68">
        <f>C23+E23+G23+I23+K23+M23</f>
        <v>567</v>
      </c>
      <c r="P23" s="68"/>
      <c r="Q23" s="69"/>
      <c r="R23" s="68">
        <f>D23+F23+H23+J23+L23+N23</f>
        <v>535</v>
      </c>
      <c r="S23" s="68"/>
      <c r="T23" s="69"/>
      <c r="U23" s="68">
        <f>R23-O23</f>
        <v>-32</v>
      </c>
    </row>
    <row r="24" spans="1:30" s="60" customFormat="1" ht="21" customHeight="1" x14ac:dyDescent="0.2">
      <c r="A24" s="58">
        <v>2</v>
      </c>
      <c r="B24" s="59" t="s">
        <v>12</v>
      </c>
      <c r="C24" s="67"/>
      <c r="D24" s="67"/>
      <c r="E24" s="67"/>
      <c r="F24" s="67"/>
      <c r="G24" s="67">
        <v>471</v>
      </c>
      <c r="H24" s="67">
        <v>156</v>
      </c>
      <c r="I24" s="67">
        <v>1286</v>
      </c>
      <c r="J24" s="67">
        <v>1477</v>
      </c>
      <c r="K24" s="67">
        <v>269</v>
      </c>
      <c r="L24" s="67">
        <v>228</v>
      </c>
      <c r="M24" s="67">
        <v>751</v>
      </c>
      <c r="N24" s="67">
        <v>482</v>
      </c>
      <c r="O24" s="68">
        <f t="shared" ref="O24:O33" si="10">C24+E24+G24+I24+K24+M24</f>
        <v>2777</v>
      </c>
      <c r="P24" s="68"/>
      <c r="Q24" s="69"/>
      <c r="R24" s="68">
        <f t="shared" ref="R24:R33" si="11">D24+F24+H24+J24+L24+N24</f>
        <v>2343</v>
      </c>
      <c r="S24" s="68"/>
      <c r="T24" s="69"/>
      <c r="U24" s="68">
        <f t="shared" ref="U24:U33" si="12">R24-O24</f>
        <v>-434</v>
      </c>
    </row>
    <row r="25" spans="1:30" s="60" customFormat="1" ht="21" customHeight="1" x14ac:dyDescent="0.2">
      <c r="A25" s="58">
        <v>3</v>
      </c>
      <c r="B25" s="59" t="s">
        <v>13</v>
      </c>
      <c r="C25" s="67"/>
      <c r="D25" s="67"/>
      <c r="E25" s="67"/>
      <c r="F25" s="67"/>
      <c r="G25" s="67">
        <v>1999300</v>
      </c>
      <c r="H25" s="67">
        <v>176000</v>
      </c>
      <c r="I25" s="67">
        <v>20281300</v>
      </c>
      <c r="J25" s="67">
        <v>29401900</v>
      </c>
      <c r="K25" s="67">
        <v>12151600</v>
      </c>
      <c r="L25" s="67">
        <v>11143000</v>
      </c>
      <c r="M25" s="67">
        <v>8375700</v>
      </c>
      <c r="N25" s="67">
        <v>6937100</v>
      </c>
      <c r="O25" s="68">
        <f t="shared" si="10"/>
        <v>42807900</v>
      </c>
      <c r="P25" s="68">
        <f>O25/$O$23</f>
        <v>75498.9417989418</v>
      </c>
      <c r="Q25" s="69">
        <f>O25/$O$22</f>
        <v>4.7268353504358235E-2</v>
      </c>
      <c r="R25" s="68">
        <f t="shared" si="11"/>
        <v>47658000</v>
      </c>
      <c r="S25" s="68">
        <f>R25/$R$23</f>
        <v>89080.373831775694</v>
      </c>
      <c r="T25" s="70">
        <f>R25/$R$22*100</f>
        <v>5.9272066417418623</v>
      </c>
      <c r="U25" s="68">
        <f t="shared" si="12"/>
        <v>4850100</v>
      </c>
      <c r="V25" s="60" t="e">
        <f>O25/O46*100</f>
        <v>#DIV/0!</v>
      </c>
      <c r="W25" s="60" t="e">
        <f>R25/R46*100</f>
        <v>#DIV/0!</v>
      </c>
      <c r="X25" s="60">
        <v>218217100</v>
      </c>
      <c r="Y25" s="60">
        <v>2968500</v>
      </c>
      <c r="Z25" s="60">
        <v>1365400</v>
      </c>
      <c r="AA25" s="60">
        <v>65072800</v>
      </c>
      <c r="AB25" s="60">
        <v>1146100</v>
      </c>
      <c r="AC25" s="60">
        <v>566800</v>
      </c>
      <c r="AD25" s="61">
        <f>SUM(X25:AC25)</f>
        <v>289336700</v>
      </c>
    </row>
    <row r="26" spans="1:30" s="60" customFormat="1" ht="21" customHeight="1" x14ac:dyDescent="0.2">
      <c r="A26" s="58">
        <v>4</v>
      </c>
      <c r="B26" s="59" t="s">
        <v>14</v>
      </c>
      <c r="C26" s="67"/>
      <c r="D26" s="67"/>
      <c r="E26" s="67"/>
      <c r="F26" s="67"/>
      <c r="G26" s="67">
        <v>3769900</v>
      </c>
      <c r="H26" s="67">
        <v>1081900</v>
      </c>
      <c r="I26" s="67">
        <v>7195300</v>
      </c>
      <c r="J26" s="67">
        <v>9099500</v>
      </c>
      <c r="K26" s="67">
        <v>3777800</v>
      </c>
      <c r="L26" s="67">
        <v>3116900</v>
      </c>
      <c r="M26" s="67">
        <v>7457000</v>
      </c>
      <c r="N26" s="67">
        <v>4486100</v>
      </c>
      <c r="O26" s="68">
        <f t="shared" si="10"/>
        <v>22200000</v>
      </c>
      <c r="P26" s="68">
        <f t="shared" ref="P26:P33" si="13">O26/$O$23</f>
        <v>39153.439153439154</v>
      </c>
      <c r="Q26" s="69">
        <f t="shared" ref="Q26:Q33" si="14">O26/$O$22</f>
        <v>2.4513172750748175E-2</v>
      </c>
      <c r="R26" s="68">
        <f t="shared" si="11"/>
        <v>17784400</v>
      </c>
      <c r="S26" s="68">
        <f t="shared" ref="S26:S33" si="15">R26/$R$23</f>
        <v>33241.869158878508</v>
      </c>
      <c r="T26" s="70">
        <f t="shared" ref="T26:T33" si="16">R26/$R$22*100</f>
        <v>2.2118388056442564</v>
      </c>
      <c r="U26" s="68">
        <f t="shared" si="12"/>
        <v>-4415600</v>
      </c>
      <c r="X26" s="60">
        <v>270077800</v>
      </c>
      <c r="Y26" s="60">
        <v>4139400</v>
      </c>
      <c r="Z26" s="60">
        <v>2227600</v>
      </c>
      <c r="AA26" s="60">
        <v>59759100</v>
      </c>
      <c r="AB26" s="60">
        <v>1077300</v>
      </c>
      <c r="AC26" s="60">
        <v>479000</v>
      </c>
      <c r="AD26" s="61">
        <f t="shared" ref="AD26:AD29" si="17">SUM(X26:AC26)</f>
        <v>337760200</v>
      </c>
    </row>
    <row r="27" spans="1:30" s="60" customFormat="1" ht="21" customHeight="1" x14ac:dyDescent="0.2">
      <c r="A27" s="58">
        <v>5</v>
      </c>
      <c r="B27" s="59" t="s">
        <v>17</v>
      </c>
      <c r="C27" s="67"/>
      <c r="D27" s="67"/>
      <c r="E27" s="67"/>
      <c r="F27" s="67"/>
      <c r="G27" s="67">
        <v>93929900</v>
      </c>
      <c r="H27" s="67">
        <v>34121200</v>
      </c>
      <c r="I27" s="67">
        <v>7834400</v>
      </c>
      <c r="J27" s="67">
        <v>8745900</v>
      </c>
      <c r="K27" s="67">
        <v>106348600</v>
      </c>
      <c r="L27" s="67">
        <v>85358400</v>
      </c>
      <c r="M27" s="67">
        <v>47628100</v>
      </c>
      <c r="N27" s="67">
        <v>54774800</v>
      </c>
      <c r="O27" s="68">
        <f t="shared" si="10"/>
        <v>255741000</v>
      </c>
      <c r="P27" s="68">
        <f t="shared" si="13"/>
        <v>451042.32804232807</v>
      </c>
      <c r="Q27" s="69">
        <f t="shared" si="14"/>
        <v>0.2823884374977067</v>
      </c>
      <c r="R27" s="68">
        <f t="shared" si="11"/>
        <v>183000300</v>
      </c>
      <c r="S27" s="68">
        <f t="shared" si="15"/>
        <v>342056.63551401871</v>
      </c>
      <c r="T27" s="70">
        <f t="shared" si="16"/>
        <v>22.759675051423752</v>
      </c>
      <c r="U27" s="68">
        <f t="shared" si="12"/>
        <v>-72740700</v>
      </c>
      <c r="X27" s="60">
        <v>255035900</v>
      </c>
      <c r="Y27" s="60">
        <v>7899100</v>
      </c>
      <c r="Z27" s="60">
        <v>5514800</v>
      </c>
      <c r="AA27" s="60">
        <v>100997500</v>
      </c>
      <c r="AB27" s="60">
        <v>3142600</v>
      </c>
      <c r="AC27" s="60">
        <v>2477900</v>
      </c>
      <c r="AD27" s="61">
        <f t="shared" si="17"/>
        <v>375067800</v>
      </c>
    </row>
    <row r="28" spans="1:30" s="60" customFormat="1" ht="21" customHeight="1" x14ac:dyDescent="0.2">
      <c r="A28" s="58">
        <v>6</v>
      </c>
      <c r="B28" s="59" t="s">
        <v>19</v>
      </c>
      <c r="C28" s="67"/>
      <c r="D28" s="67"/>
      <c r="E28" s="67"/>
      <c r="F28" s="67"/>
      <c r="G28" s="67">
        <v>1494500</v>
      </c>
      <c r="H28" s="67">
        <v>518500</v>
      </c>
      <c r="I28" s="67">
        <v>4422500</v>
      </c>
      <c r="J28" s="67">
        <v>5133150</v>
      </c>
      <c r="K28" s="67">
        <v>1137650</v>
      </c>
      <c r="L28" s="67">
        <v>1250500</v>
      </c>
      <c r="M28" s="67">
        <v>3066800</v>
      </c>
      <c r="N28" s="67">
        <v>1991650</v>
      </c>
      <c r="O28" s="68">
        <f t="shared" si="10"/>
        <v>10121450</v>
      </c>
      <c r="P28" s="68">
        <f t="shared" si="13"/>
        <v>17850.881834215168</v>
      </c>
      <c r="Q28" s="69">
        <f t="shared" si="14"/>
        <v>1.1176074429642347E-2</v>
      </c>
      <c r="R28" s="68">
        <f t="shared" si="11"/>
        <v>8893800</v>
      </c>
      <c r="S28" s="68">
        <f t="shared" si="15"/>
        <v>16623.925233644859</v>
      </c>
      <c r="T28" s="70">
        <f t="shared" si="16"/>
        <v>1.1061183941903516</v>
      </c>
      <c r="U28" s="68">
        <f t="shared" si="12"/>
        <v>-1227650</v>
      </c>
      <c r="X28" s="60">
        <v>400014300</v>
      </c>
      <c r="Y28" s="60">
        <v>4725000</v>
      </c>
      <c r="Z28" s="60">
        <v>2058000</v>
      </c>
      <c r="AA28" s="60">
        <v>135454200</v>
      </c>
      <c r="AB28" s="60">
        <v>1932000</v>
      </c>
      <c r="AC28" s="60">
        <v>945000</v>
      </c>
      <c r="AD28" s="61">
        <f t="shared" si="17"/>
        <v>545128500</v>
      </c>
    </row>
    <row r="29" spans="1:30" s="60" customFormat="1" ht="21" customHeight="1" x14ac:dyDescent="0.2">
      <c r="A29" s="58">
        <v>7</v>
      </c>
      <c r="B29" s="59" t="s">
        <v>20</v>
      </c>
      <c r="C29" s="67"/>
      <c r="D29" s="67"/>
      <c r="E29" s="67"/>
      <c r="F29" s="67"/>
      <c r="G29" s="67">
        <v>25508140</v>
      </c>
      <c r="H29" s="67">
        <v>18891600</v>
      </c>
      <c r="I29" s="67">
        <v>193392600</v>
      </c>
      <c r="J29" s="67">
        <v>222197700</v>
      </c>
      <c r="K29" s="67">
        <v>44910500</v>
      </c>
      <c r="L29" s="67">
        <v>36259800</v>
      </c>
      <c r="M29" s="67">
        <v>112012930</v>
      </c>
      <c r="N29" s="67">
        <v>73110600</v>
      </c>
      <c r="O29" s="68">
        <f t="shared" si="10"/>
        <v>375824170</v>
      </c>
      <c r="P29" s="68">
        <f t="shared" si="13"/>
        <v>662829.22398589063</v>
      </c>
      <c r="Q29" s="69">
        <f t="shared" si="14"/>
        <v>0.41498391005029506</v>
      </c>
      <c r="R29" s="68">
        <f t="shared" si="11"/>
        <v>350459700</v>
      </c>
      <c r="S29" s="68">
        <f t="shared" si="15"/>
        <v>655064.85981308413</v>
      </c>
      <c r="T29" s="70">
        <f t="shared" si="16"/>
        <v>43.586534506333884</v>
      </c>
      <c r="U29" s="68">
        <f t="shared" si="12"/>
        <v>-25364470</v>
      </c>
      <c r="V29" s="62"/>
      <c r="X29" s="60">
        <v>2075395500</v>
      </c>
      <c r="Y29" s="60">
        <v>40663200</v>
      </c>
      <c r="Z29" s="60">
        <v>15794800</v>
      </c>
      <c r="AA29" s="60">
        <v>757835700</v>
      </c>
      <c r="AB29" s="60">
        <v>18689100</v>
      </c>
      <c r="AC29" s="60">
        <v>8171800</v>
      </c>
      <c r="AD29" s="61">
        <f t="shared" si="17"/>
        <v>2916550100</v>
      </c>
    </row>
    <row r="30" spans="1:30" s="60" customFormat="1" ht="21" customHeight="1" x14ac:dyDescent="0.2">
      <c r="A30" s="58">
        <v>8</v>
      </c>
      <c r="B30" s="59" t="s">
        <v>15</v>
      </c>
      <c r="C30" s="67"/>
      <c r="D30" s="67"/>
      <c r="E30" s="67"/>
      <c r="F30" s="67"/>
      <c r="G30" s="67">
        <v>20704335</v>
      </c>
      <c r="H30" s="67">
        <v>4077316</v>
      </c>
      <c r="I30" s="67">
        <f>73482350+284505</f>
        <v>73766855</v>
      </c>
      <c r="J30" s="67">
        <v>80416000</v>
      </c>
      <c r="K30" s="67">
        <v>16132177</v>
      </c>
      <c r="L30" s="67">
        <v>16781648</v>
      </c>
      <c r="M30" s="67">
        <v>59457838</v>
      </c>
      <c r="N30" s="67">
        <v>67544507</v>
      </c>
      <c r="O30" s="68">
        <f t="shared" si="10"/>
        <v>170061205</v>
      </c>
      <c r="P30" s="68">
        <f t="shared" si="13"/>
        <v>299931.57848324516</v>
      </c>
      <c r="Q30" s="69">
        <f t="shared" si="14"/>
        <v>0.18778106740384681</v>
      </c>
      <c r="R30" s="68">
        <f t="shared" si="11"/>
        <v>168819471</v>
      </c>
      <c r="S30" s="68">
        <f t="shared" si="15"/>
        <v>315550.41308411217</v>
      </c>
      <c r="T30" s="70">
        <f t="shared" si="16"/>
        <v>20.996010948141922</v>
      </c>
      <c r="U30" s="68">
        <f t="shared" si="12"/>
        <v>-1241734</v>
      </c>
      <c r="V30" s="63"/>
      <c r="W30" s="63"/>
    </row>
    <row r="31" spans="1:30" s="60" customFormat="1" ht="21" customHeight="1" x14ac:dyDescent="0.2">
      <c r="A31" s="58">
        <v>9</v>
      </c>
      <c r="B31" s="59" t="s">
        <v>16</v>
      </c>
      <c r="C31" s="67"/>
      <c r="D31" s="67"/>
      <c r="E31" s="67"/>
      <c r="F31" s="67"/>
      <c r="G31" s="67"/>
      <c r="H31" s="67"/>
      <c r="I31" s="67"/>
      <c r="J31" s="67">
        <v>9702000</v>
      </c>
      <c r="K31" s="67">
        <v>1764000</v>
      </c>
      <c r="L31" s="67"/>
      <c r="M31" s="67"/>
      <c r="N31" s="67"/>
      <c r="O31" s="68">
        <f t="shared" si="10"/>
        <v>1764000</v>
      </c>
      <c r="P31" s="68">
        <f t="shared" si="13"/>
        <v>3111.1111111111113</v>
      </c>
      <c r="Q31" s="69">
        <f t="shared" si="14"/>
        <v>1.947803456410801E-3</v>
      </c>
      <c r="R31" s="68">
        <f t="shared" si="11"/>
        <v>9702000</v>
      </c>
      <c r="S31" s="68">
        <f t="shared" si="15"/>
        <v>18134.579439252335</v>
      </c>
      <c r="T31" s="70">
        <f t="shared" si="16"/>
        <v>1.206633909064156</v>
      </c>
      <c r="U31" s="68">
        <f t="shared" si="12"/>
        <v>7938000</v>
      </c>
    </row>
    <row r="32" spans="1:30" s="60" customFormat="1" ht="21" customHeight="1" x14ac:dyDescent="0.2">
      <c r="A32" s="58">
        <v>10</v>
      </c>
      <c r="B32" s="59" t="s">
        <v>24</v>
      </c>
      <c r="C32" s="67"/>
      <c r="D32" s="67"/>
      <c r="E32" s="67"/>
      <c r="F32" s="67"/>
      <c r="G32" s="67"/>
      <c r="H32" s="67"/>
      <c r="I32" s="67">
        <v>9773280</v>
      </c>
      <c r="J32" s="67">
        <v>6032160</v>
      </c>
      <c r="K32" s="67">
        <v>705600</v>
      </c>
      <c r="L32" s="67">
        <v>788520</v>
      </c>
      <c r="M32" s="67">
        <v>7071600</v>
      </c>
      <c r="N32" s="67">
        <v>2113920</v>
      </c>
      <c r="O32" s="68">
        <f t="shared" si="10"/>
        <v>17550480</v>
      </c>
      <c r="P32" s="68">
        <f t="shared" si="13"/>
        <v>30953.227513227514</v>
      </c>
      <c r="Q32" s="69">
        <f t="shared" si="14"/>
        <v>1.9379186851286073E-2</v>
      </c>
      <c r="R32" s="68">
        <f t="shared" si="11"/>
        <v>8934600</v>
      </c>
      <c r="S32" s="68">
        <f t="shared" si="15"/>
        <v>16700.186915887851</v>
      </c>
      <c r="T32" s="70">
        <f t="shared" si="16"/>
        <v>1.1111926740800462</v>
      </c>
      <c r="U32" s="68">
        <f t="shared" si="12"/>
        <v>-8615880</v>
      </c>
    </row>
    <row r="33" spans="1:21" s="60" customFormat="1" ht="21" customHeight="1" x14ac:dyDescent="0.2">
      <c r="A33" s="58">
        <v>11</v>
      </c>
      <c r="B33" s="59" t="s">
        <v>18</v>
      </c>
      <c r="C33" s="67"/>
      <c r="D33" s="67"/>
      <c r="E33" s="67"/>
      <c r="F33" s="67"/>
      <c r="G33" s="67">
        <v>349866</v>
      </c>
      <c r="H33" s="67">
        <v>114390</v>
      </c>
      <c r="I33" s="67">
        <v>4244948</v>
      </c>
      <c r="J33" s="67">
        <v>5529615</v>
      </c>
      <c r="K33" s="67">
        <v>901228</v>
      </c>
      <c r="L33" s="67">
        <v>990347</v>
      </c>
      <c r="M33" s="67">
        <v>4069275</v>
      </c>
      <c r="N33" s="67">
        <v>2168354</v>
      </c>
      <c r="O33" s="68">
        <f t="shared" si="10"/>
        <v>9565317</v>
      </c>
      <c r="P33" s="68">
        <f t="shared" si="13"/>
        <v>16870.047619047618</v>
      </c>
      <c r="Q33" s="69">
        <f t="shared" si="14"/>
        <v>1.0561994055705778E-2</v>
      </c>
      <c r="R33" s="68">
        <f t="shared" si="11"/>
        <v>8802706</v>
      </c>
      <c r="S33" s="68">
        <f t="shared" si="15"/>
        <v>16453.656074766353</v>
      </c>
      <c r="T33" s="70">
        <f t="shared" si="16"/>
        <v>1.0947890693797671</v>
      </c>
      <c r="U33" s="68">
        <f t="shared" si="12"/>
        <v>-762611</v>
      </c>
    </row>
    <row r="34" spans="1:21" s="66" customFormat="1" ht="21" customHeight="1" x14ac:dyDescent="0.2">
      <c r="A34" s="156" t="s">
        <v>54</v>
      </c>
      <c r="B34" s="157"/>
      <c r="C34" s="64">
        <f>C10+C22</f>
        <v>442495009</v>
      </c>
      <c r="D34" s="64">
        <f t="shared" ref="D34:U34" si="18">D10+D22</f>
        <v>385375703</v>
      </c>
      <c r="E34" s="64">
        <f t="shared" si="18"/>
        <v>6901300</v>
      </c>
      <c r="F34" s="64">
        <f t="shared" si="18"/>
        <v>14429150</v>
      </c>
      <c r="G34" s="64">
        <f t="shared" si="18"/>
        <v>151355010</v>
      </c>
      <c r="H34" s="64">
        <f t="shared" si="18"/>
        <v>203207433</v>
      </c>
      <c r="I34" s="64">
        <f t="shared" si="18"/>
        <v>321033183</v>
      </c>
      <c r="J34" s="64">
        <f t="shared" si="18"/>
        <v>376288425</v>
      </c>
      <c r="K34" s="64">
        <f t="shared" si="18"/>
        <v>210598560</v>
      </c>
      <c r="L34" s="64">
        <f t="shared" si="18"/>
        <v>179732393</v>
      </c>
      <c r="M34" s="64">
        <f t="shared" si="18"/>
        <v>249444243</v>
      </c>
      <c r="N34" s="64">
        <f t="shared" si="18"/>
        <v>213249031</v>
      </c>
      <c r="O34" s="64">
        <f t="shared" si="18"/>
        <v>1381827305</v>
      </c>
      <c r="P34" s="64"/>
      <c r="Q34" s="65"/>
      <c r="R34" s="64">
        <f t="shared" si="18"/>
        <v>1372282135</v>
      </c>
      <c r="S34" s="64"/>
      <c r="T34" s="64"/>
      <c r="U34" s="64">
        <f t="shared" si="18"/>
        <v>-9545170</v>
      </c>
    </row>
    <row r="35" spans="1:21" x14ac:dyDescent="0.25">
      <c r="B35" s="18"/>
      <c r="C35" s="18"/>
      <c r="D35" s="17"/>
    </row>
    <row r="36" spans="1:21" x14ac:dyDescent="0.25">
      <c r="B36" s="17"/>
      <c r="C36" s="18"/>
      <c r="D36" s="22"/>
      <c r="L36" s="11"/>
      <c r="N36" s="11"/>
      <c r="U36" s="12"/>
    </row>
    <row r="37" spans="1:21" x14ac:dyDescent="0.25">
      <c r="B37" s="18"/>
      <c r="C37" s="18"/>
      <c r="D37" s="22"/>
      <c r="R37" s="12"/>
      <c r="T37" s="12"/>
    </row>
    <row r="38" spans="1:21" x14ac:dyDescent="0.25">
      <c r="B38" s="18"/>
      <c r="C38" s="18"/>
      <c r="D38" s="17"/>
    </row>
    <row r="39" spans="1:21" x14ac:dyDescent="0.25">
      <c r="B39" s="18"/>
      <c r="C39" s="18"/>
      <c r="D39" s="18"/>
    </row>
  </sheetData>
  <mergeCells count="18">
    <mergeCell ref="G7:H7"/>
    <mergeCell ref="I7:J7"/>
    <mergeCell ref="K7:L7"/>
    <mergeCell ref="M7:N7"/>
    <mergeCell ref="U7:U8"/>
    <mergeCell ref="A34:B34"/>
    <mergeCell ref="O7:O8"/>
    <mergeCell ref="P7:P8"/>
    <mergeCell ref="Q7:Q8"/>
    <mergeCell ref="R7:R8"/>
    <mergeCell ref="S7:S8"/>
    <mergeCell ref="T7:T8"/>
    <mergeCell ref="A6:A8"/>
    <mergeCell ref="B6:B8"/>
    <mergeCell ref="C6:N6"/>
    <mergeCell ref="O6:U6"/>
    <mergeCell ref="C7:D7"/>
    <mergeCell ref="E7:F7"/>
  </mergeCells>
  <pageMargins left="0.2" right="0.2" top="0.2" bottom="0.75" header="0.2" footer="0.3"/>
  <pageSetup paperSize="9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7" zoomScale="115" zoomScaleNormal="115" workbookViewId="0">
      <selection activeCell="J15" sqref="J15"/>
    </sheetView>
  </sheetViews>
  <sheetFormatPr defaultColWidth="8.75" defaultRowHeight="14.25" x14ac:dyDescent="0.2"/>
  <cols>
    <col min="1" max="1" width="5.25" style="73" customWidth="1"/>
    <col min="2" max="2" width="20.625" style="73" customWidth="1"/>
    <col min="3" max="3" width="13.25" style="73" customWidth="1"/>
    <col min="4" max="4" width="8.125" style="73" customWidth="1"/>
    <col min="5" max="5" width="6.75" style="73" customWidth="1"/>
    <col min="6" max="6" width="14.125" style="73" customWidth="1"/>
    <col min="7" max="7" width="9.25" style="73" customWidth="1"/>
    <col min="8" max="8" width="7.375" style="73" customWidth="1"/>
    <col min="9" max="9" width="12.25" style="73" customWidth="1"/>
    <col min="10" max="10" width="13.75" style="73" customWidth="1"/>
    <col min="11" max="11" width="14.25" style="73" customWidth="1"/>
    <col min="12" max="15" width="12.375" style="73" bestFit="1" customWidth="1"/>
    <col min="16" max="16384" width="8.75" style="73"/>
  </cols>
  <sheetData>
    <row r="1" spans="1:15" ht="18.75" x14ac:dyDescent="0.3">
      <c r="B1" s="144" t="s">
        <v>0</v>
      </c>
      <c r="C1" s="144"/>
      <c r="D1" s="144"/>
      <c r="E1" s="144"/>
    </row>
    <row r="2" spans="1:15" ht="18.75" x14ac:dyDescent="0.3">
      <c r="B2" s="145" t="s">
        <v>67</v>
      </c>
      <c r="C2" s="145"/>
      <c r="D2" s="145"/>
      <c r="E2" s="145"/>
    </row>
    <row r="4" spans="1:15" ht="18.75" x14ac:dyDescent="0.3">
      <c r="B4" s="145" t="s">
        <v>68</v>
      </c>
      <c r="C4" s="145"/>
      <c r="D4" s="145"/>
      <c r="E4" s="145"/>
      <c r="F4" s="145"/>
      <c r="G4" s="145"/>
      <c r="H4" s="145"/>
      <c r="I4" s="145"/>
      <c r="J4" s="145"/>
    </row>
    <row r="5" spans="1:15" ht="18.75" x14ac:dyDescent="0.3">
      <c r="B5" s="146" t="s">
        <v>93</v>
      </c>
      <c r="C5" s="146"/>
      <c r="D5" s="146"/>
      <c r="E5" s="146"/>
      <c r="F5" s="146"/>
      <c r="G5" s="146"/>
      <c r="H5" s="146"/>
      <c r="I5" s="146"/>
      <c r="J5" s="146"/>
    </row>
    <row r="7" spans="1:15" s="76" customFormat="1" ht="18.75" customHeight="1" x14ac:dyDescent="0.2">
      <c r="A7" s="74" t="s">
        <v>3</v>
      </c>
      <c r="B7" s="75" t="s">
        <v>69</v>
      </c>
      <c r="C7" s="147" t="s">
        <v>94</v>
      </c>
      <c r="D7" s="148"/>
      <c r="E7" s="149"/>
      <c r="F7" s="147" t="s">
        <v>95</v>
      </c>
      <c r="G7" s="148"/>
      <c r="H7" s="149"/>
      <c r="I7" s="150" t="s">
        <v>70</v>
      </c>
      <c r="J7" s="151"/>
    </row>
    <row r="8" spans="1:15" s="81" customFormat="1" ht="18" customHeight="1" x14ac:dyDescent="0.25">
      <c r="A8" s="77"/>
      <c r="B8" s="78"/>
      <c r="C8" s="78"/>
      <c r="D8" s="79"/>
      <c r="E8" s="80"/>
      <c r="F8" s="78"/>
      <c r="G8" s="79"/>
      <c r="H8" s="80"/>
      <c r="I8" s="79"/>
      <c r="J8" s="80"/>
    </row>
    <row r="9" spans="1:15" s="86" customFormat="1" ht="24.75" customHeight="1" x14ac:dyDescent="0.2">
      <c r="A9" s="82"/>
      <c r="B9" s="83" t="s">
        <v>71</v>
      </c>
      <c r="C9" s="84" t="s">
        <v>72</v>
      </c>
      <c r="D9" s="84" t="s">
        <v>73</v>
      </c>
      <c r="E9" s="84" t="s">
        <v>74</v>
      </c>
      <c r="F9" s="84" t="s">
        <v>72</v>
      </c>
      <c r="G9" s="84" t="s">
        <v>73</v>
      </c>
      <c r="H9" s="84" t="s">
        <v>74</v>
      </c>
      <c r="I9" s="84" t="s">
        <v>75</v>
      </c>
      <c r="J9" s="84" t="s">
        <v>76</v>
      </c>
      <c r="K9" s="85"/>
      <c r="O9" s="85"/>
    </row>
    <row r="10" spans="1:15" s="86" customFormat="1" ht="18" customHeight="1" x14ac:dyDescent="0.2">
      <c r="A10" s="87">
        <v>1</v>
      </c>
      <c r="B10" s="88" t="s">
        <v>77</v>
      </c>
      <c r="C10" s="89">
        <f>37132-9908</f>
        <v>27224</v>
      </c>
      <c r="D10" s="90"/>
      <c r="E10" s="91"/>
      <c r="F10" s="89">
        <f>30482-2388</f>
        <v>28094</v>
      </c>
      <c r="G10" s="90"/>
      <c r="H10" s="91"/>
      <c r="I10" s="90"/>
      <c r="J10" s="90"/>
      <c r="K10" s="85"/>
      <c r="L10" s="85"/>
      <c r="O10" s="85"/>
    </row>
    <row r="11" spans="1:15" s="86" customFormat="1" ht="18" customHeight="1" x14ac:dyDescent="0.2">
      <c r="A11" s="87">
        <v>2</v>
      </c>
      <c r="B11" s="88" t="s">
        <v>12</v>
      </c>
      <c r="C11" s="89"/>
      <c r="D11" s="92">
        <f>C11/C10</f>
        <v>0</v>
      </c>
      <c r="E11" s="91"/>
      <c r="F11" s="89"/>
      <c r="G11" s="92">
        <f>F11/F10</f>
        <v>0</v>
      </c>
      <c r="H11" s="91"/>
      <c r="I11" s="90"/>
      <c r="J11" s="90"/>
      <c r="K11" s="85"/>
      <c r="L11" s="85"/>
      <c r="M11" s="85"/>
      <c r="O11" s="85"/>
    </row>
    <row r="12" spans="1:15" s="86" customFormat="1" ht="18" customHeight="1" x14ac:dyDescent="0.2">
      <c r="A12" s="87">
        <v>3</v>
      </c>
      <c r="B12" s="88" t="s">
        <v>78</v>
      </c>
      <c r="C12" s="93">
        <f>SUM(C13:C24)</f>
        <v>11924310435</v>
      </c>
      <c r="D12" s="90">
        <f>C12/C10</f>
        <v>438007.28897296503</v>
      </c>
      <c r="E12" s="91"/>
      <c r="F12" s="93">
        <f>SUM(F13:F24)</f>
        <v>12823667246</v>
      </c>
      <c r="G12" s="90">
        <f>F12/F10</f>
        <v>456455.72883889801</v>
      </c>
      <c r="H12" s="91"/>
      <c r="I12" s="94">
        <f t="shared" ref="I12:I26" si="0">($F$10-$C$10)*D12</f>
        <v>381066341.4064796</v>
      </c>
      <c r="J12" s="94">
        <f t="shared" ref="J12:J26" si="1">F12-C12-I12</f>
        <v>518290469.5935204</v>
      </c>
      <c r="K12" s="85"/>
      <c r="L12" s="85"/>
      <c r="M12" s="85"/>
      <c r="O12" s="85"/>
    </row>
    <row r="13" spans="1:15" s="86" customFormat="1" ht="18" customHeight="1" x14ac:dyDescent="0.2">
      <c r="A13" s="87">
        <v>4</v>
      </c>
      <c r="B13" s="88" t="s">
        <v>79</v>
      </c>
      <c r="C13" s="95">
        <f>1541604800-383112700</f>
        <v>1158492100</v>
      </c>
      <c r="D13" s="90">
        <f>C13/C10</f>
        <v>42554.073611519249</v>
      </c>
      <c r="E13" s="91">
        <f>C13/C12</f>
        <v>9.7153802420273869E-2</v>
      </c>
      <c r="F13" s="95">
        <f>1323407100-108296100</f>
        <v>1215111000</v>
      </c>
      <c r="G13" s="90">
        <f>F13/F10</f>
        <v>43251.61956289599</v>
      </c>
      <c r="H13" s="91">
        <f>F13/F12</f>
        <v>9.4755343903595232E-2</v>
      </c>
      <c r="I13" s="94">
        <f t="shared" si="0"/>
        <v>37022044.042021744</v>
      </c>
      <c r="J13" s="94">
        <f t="shared" si="1"/>
        <v>19596855.957978256</v>
      </c>
      <c r="K13" s="85"/>
      <c r="L13" s="85"/>
      <c r="M13" s="85"/>
    </row>
    <row r="14" spans="1:15" s="86" customFormat="1" ht="18" customHeight="1" x14ac:dyDescent="0.2">
      <c r="A14" s="87">
        <v>5</v>
      </c>
      <c r="B14" s="88" t="s">
        <v>80</v>
      </c>
      <c r="C14" s="95">
        <f>946514000-229199400</f>
        <v>717314600</v>
      </c>
      <c r="D14" s="90">
        <f>C14/C10</f>
        <v>26348.611519247723</v>
      </c>
      <c r="E14" s="91">
        <f>C14/C12</f>
        <v>6.0155646224586065E-2</v>
      </c>
      <c r="F14" s="95">
        <f>756375200-49074200</f>
        <v>707301000</v>
      </c>
      <c r="G14" s="90">
        <f>F14/F10</f>
        <v>25176.229799957287</v>
      </c>
      <c r="H14" s="91">
        <f>F14/F12</f>
        <v>5.515590715445487E-2</v>
      </c>
      <c r="I14" s="94">
        <f t="shared" si="0"/>
        <v>22923292.021745518</v>
      </c>
      <c r="J14" s="94">
        <f t="shared" si="1"/>
        <v>-32936892.021745518</v>
      </c>
      <c r="K14" s="85"/>
      <c r="L14" s="85"/>
      <c r="M14" s="85"/>
      <c r="N14" s="85"/>
    </row>
    <row r="15" spans="1:15" s="86" customFormat="1" ht="18" customHeight="1" x14ac:dyDescent="0.2">
      <c r="A15" s="87">
        <v>6</v>
      </c>
      <c r="B15" s="88" t="s">
        <v>81</v>
      </c>
      <c r="C15" s="95">
        <f>5283225076-1424074253</f>
        <v>3859150823</v>
      </c>
      <c r="D15" s="90">
        <f>C15/C10</f>
        <v>141755.46661034381</v>
      </c>
      <c r="E15" s="91">
        <f>C15/C12</f>
        <v>0.32363723202581984</v>
      </c>
      <c r="F15" s="95">
        <f>4294642653-292552437</f>
        <v>4002090216</v>
      </c>
      <c r="G15" s="90">
        <f>F15/F10</f>
        <v>142453.55648893001</v>
      </c>
      <c r="H15" s="91">
        <f>F15/F12</f>
        <v>0.31208624952806263</v>
      </c>
      <c r="I15" s="94">
        <f t="shared" si="0"/>
        <v>123327255.95099911</v>
      </c>
      <c r="J15" s="94">
        <f t="shared" si="1"/>
        <v>19612137.049000889</v>
      </c>
      <c r="K15" s="85"/>
      <c r="L15" s="85"/>
      <c r="N15" s="85"/>
    </row>
    <row r="16" spans="1:15" s="86" customFormat="1" ht="18" customHeight="1" x14ac:dyDescent="0.2">
      <c r="A16" s="87">
        <v>7</v>
      </c>
      <c r="B16" s="88" t="s">
        <v>82</v>
      </c>
      <c r="C16" s="95">
        <f>39061000-1764000</f>
        <v>37297000</v>
      </c>
      <c r="D16" s="90">
        <f>C16/C10</f>
        <v>1370.004407875404</v>
      </c>
      <c r="E16" s="91">
        <f>C16/C12</f>
        <v>3.1278118934682029E-3</v>
      </c>
      <c r="F16" s="95">
        <f>37795000-2646000</f>
        <v>35149000</v>
      </c>
      <c r="G16" s="90">
        <f>F16/F10</f>
        <v>1251.1212358510713</v>
      </c>
      <c r="H16" s="91">
        <f>F16/F12</f>
        <v>2.7409476030317141E-3</v>
      </c>
      <c r="I16" s="94">
        <f t="shared" si="0"/>
        <v>1191903.8348516014</v>
      </c>
      <c r="J16" s="94">
        <f t="shared" si="1"/>
        <v>-3339903.8348516012</v>
      </c>
      <c r="K16" s="85"/>
      <c r="L16" s="85"/>
      <c r="M16" s="85"/>
      <c r="N16" s="85"/>
    </row>
    <row r="17" spans="1:15" s="86" customFormat="1" ht="18" customHeight="1" x14ac:dyDescent="0.2">
      <c r="A17" s="87">
        <v>8</v>
      </c>
      <c r="B17" s="88" t="s">
        <v>83</v>
      </c>
      <c r="C17" s="95">
        <f>2918996300-850940400</f>
        <v>2068055900</v>
      </c>
      <c r="D17" s="90">
        <f>C17/C10</f>
        <v>75964.439465177784</v>
      </c>
      <c r="E17" s="91">
        <f>C17/C12</f>
        <v>0.17343190713400777</v>
      </c>
      <c r="F17" s="95">
        <f>2965414600-238814500</f>
        <v>2726600100</v>
      </c>
      <c r="G17" s="90">
        <f>F17/F10</f>
        <v>97052.755036662638</v>
      </c>
      <c r="H17" s="91">
        <f>F17/F12</f>
        <v>0.21262249305872233</v>
      </c>
      <c r="I17" s="94">
        <f t="shared" si="0"/>
        <v>66089062.334704675</v>
      </c>
      <c r="J17" s="94">
        <f t="shared" si="1"/>
        <v>592455137.66529536</v>
      </c>
      <c r="K17" s="85"/>
      <c r="L17" s="85"/>
      <c r="N17" s="85"/>
    </row>
    <row r="18" spans="1:15" s="86" customFormat="1" ht="18" customHeight="1" x14ac:dyDescent="0.2">
      <c r="A18" s="87">
        <v>9</v>
      </c>
      <c r="B18" s="88" t="s">
        <v>84</v>
      </c>
      <c r="C18" s="95">
        <f>100591745-26875575</f>
        <v>73716170</v>
      </c>
      <c r="D18" s="90">
        <f>C18/C10</f>
        <v>2707.7641052012928</v>
      </c>
      <c r="E18" s="91">
        <f>C18/C12</f>
        <v>6.1820069514149645E-3</v>
      </c>
      <c r="F18" s="95">
        <f>81270055-6588001</f>
        <v>74682054</v>
      </c>
      <c r="G18" s="90">
        <f>F18/F10</f>
        <v>2658.2919484587455</v>
      </c>
      <c r="H18" s="91">
        <f>F18/F12</f>
        <v>5.8237673020792918E-3</v>
      </c>
      <c r="I18" s="94">
        <f t="shared" si="0"/>
        <v>2355754.7715251246</v>
      </c>
      <c r="J18" s="94">
        <f t="shared" si="1"/>
        <v>-1389870.7715251246</v>
      </c>
      <c r="K18" s="85"/>
      <c r="L18" s="85"/>
      <c r="M18" s="85"/>
    </row>
    <row r="19" spans="1:15" s="86" customFormat="1" ht="18" customHeight="1" x14ac:dyDescent="0.2">
      <c r="A19" s="87">
        <v>10</v>
      </c>
      <c r="B19" s="88" t="s">
        <v>85</v>
      </c>
      <c r="C19" s="90"/>
      <c r="D19" s="90">
        <f>C19/C10</f>
        <v>0</v>
      </c>
      <c r="E19" s="91">
        <f>C19/C12</f>
        <v>0</v>
      </c>
      <c r="F19" s="90"/>
      <c r="G19" s="90">
        <f>F19/F10</f>
        <v>0</v>
      </c>
      <c r="H19" s="91">
        <f>F19/F12</f>
        <v>0</v>
      </c>
      <c r="I19" s="94">
        <f t="shared" si="0"/>
        <v>0</v>
      </c>
      <c r="J19" s="94">
        <f t="shared" si="1"/>
        <v>0</v>
      </c>
      <c r="K19" s="85"/>
      <c r="L19" s="85"/>
      <c r="M19" s="85"/>
      <c r="N19" s="85"/>
    </row>
    <row r="20" spans="1:15" s="86" customFormat="1" ht="18" customHeight="1" x14ac:dyDescent="0.2">
      <c r="A20" s="87">
        <v>11</v>
      </c>
      <c r="B20" s="88" t="s">
        <v>86</v>
      </c>
      <c r="C20" s="90">
        <f>34137978-12934146</f>
        <v>21203832</v>
      </c>
      <c r="D20" s="90">
        <f>C20/C10</f>
        <v>778.86541287099612</v>
      </c>
      <c r="E20" s="91">
        <f>C20/C12</f>
        <v>1.7782019443038763E-3</v>
      </c>
      <c r="F20" s="90">
        <v>7133316</v>
      </c>
      <c r="G20" s="90">
        <f>F20/F10</f>
        <v>253.90887734035738</v>
      </c>
      <c r="H20" s="91">
        <f>F20/F12</f>
        <v>5.562617824651561E-4</v>
      </c>
      <c r="I20" s="94">
        <f t="shared" si="0"/>
        <v>677612.90919776668</v>
      </c>
      <c r="J20" s="94">
        <f t="shared" si="1"/>
        <v>-14748128.909197766</v>
      </c>
      <c r="K20" s="85"/>
      <c r="L20" s="85"/>
      <c r="M20" s="85"/>
      <c r="N20" s="85"/>
      <c r="O20" s="85"/>
    </row>
    <row r="21" spans="1:15" s="86" customFormat="1" ht="18" customHeight="1" x14ac:dyDescent="0.2">
      <c r="A21" s="87">
        <v>12</v>
      </c>
      <c r="B21" s="88" t="s">
        <v>87</v>
      </c>
      <c r="C21" s="90"/>
      <c r="D21" s="90">
        <f>C21/C10</f>
        <v>0</v>
      </c>
      <c r="E21" s="91">
        <f>C21/C12</f>
        <v>0</v>
      </c>
      <c r="F21" s="90"/>
      <c r="G21" s="90">
        <f>F21/F10</f>
        <v>0</v>
      </c>
      <c r="H21" s="91">
        <f>F21/F12</f>
        <v>0</v>
      </c>
      <c r="I21" s="94">
        <f t="shared" si="0"/>
        <v>0</v>
      </c>
      <c r="J21" s="94">
        <f t="shared" si="1"/>
        <v>0</v>
      </c>
      <c r="K21" s="85"/>
      <c r="L21" s="85"/>
      <c r="M21" s="85"/>
      <c r="N21" s="85"/>
      <c r="O21" s="85"/>
    </row>
    <row r="22" spans="1:15" s="86" customFormat="1" ht="18" customHeight="1" x14ac:dyDescent="0.2">
      <c r="A22" s="87">
        <v>13</v>
      </c>
      <c r="B22" s="88" t="s">
        <v>88</v>
      </c>
      <c r="C22" s="95">
        <f>1007467200-276787500</f>
        <v>730679700</v>
      </c>
      <c r="D22" s="90">
        <f>C22/C10</f>
        <v>26839.542315603878</v>
      </c>
      <c r="E22" s="91">
        <f>C22/C12</f>
        <v>6.1276474139361839E-2</v>
      </c>
      <c r="F22" s="95">
        <f>854976000-66401550</f>
        <v>788574450</v>
      </c>
      <c r="G22" s="90">
        <f>F22/F10</f>
        <v>28069.14109774329</v>
      </c>
      <c r="H22" s="91">
        <f>F22/F12</f>
        <v>6.1493676876712061E-2</v>
      </c>
      <c r="I22" s="94">
        <f t="shared" si="0"/>
        <v>23350401.814575374</v>
      </c>
      <c r="J22" s="94">
        <f t="shared" si="1"/>
        <v>34544348.185424626</v>
      </c>
      <c r="K22" s="85"/>
      <c r="L22" s="85"/>
      <c r="M22" s="85"/>
      <c r="N22" s="85"/>
    </row>
    <row r="23" spans="1:15" s="86" customFormat="1" ht="18" customHeight="1" x14ac:dyDescent="0.2">
      <c r="A23" s="87">
        <v>14</v>
      </c>
      <c r="B23" s="88" t="s">
        <v>89</v>
      </c>
      <c r="C23" s="90">
        <f>4353857020-1265278550</f>
        <v>3088578470</v>
      </c>
      <c r="D23" s="90">
        <f>C23/C10</f>
        <v>113450.57559506319</v>
      </c>
      <c r="E23" s="91">
        <f>C23/C12</f>
        <v>0.25901526858395646</v>
      </c>
      <c r="F23" s="90">
        <f>3462488650-280912800</f>
        <v>3181575850</v>
      </c>
      <c r="G23" s="90">
        <f>F23/F10</f>
        <v>113247.52082295153</v>
      </c>
      <c r="H23" s="91">
        <f>F23/F12</f>
        <v>0.24810187202825365</v>
      </c>
      <c r="I23" s="94">
        <f t="shared" si="0"/>
        <v>98702000.767704979</v>
      </c>
      <c r="J23" s="94">
        <f t="shared" si="1"/>
        <v>-5704620.7677049786</v>
      </c>
      <c r="K23" s="85"/>
      <c r="L23" s="85"/>
      <c r="M23" s="85"/>
    </row>
    <row r="24" spans="1:15" s="86" customFormat="1" ht="18" customHeight="1" x14ac:dyDescent="0.2">
      <c r="A24" s="87">
        <v>15</v>
      </c>
      <c r="B24" s="88" t="s">
        <v>90</v>
      </c>
      <c r="C24" s="95">
        <f>215879940-46058100</f>
        <v>169821840</v>
      </c>
      <c r="D24" s="90">
        <f>C24/C10</f>
        <v>6237.94593006171</v>
      </c>
      <c r="E24" s="91">
        <f>C24/C12</f>
        <v>1.4241648682807041E-2</v>
      </c>
      <c r="F24" s="95">
        <f>88407720-2957460</f>
        <v>85450260</v>
      </c>
      <c r="G24" s="90">
        <f>F24/F10</f>
        <v>3041.5839681070693</v>
      </c>
      <c r="H24" s="91">
        <f>F24/F12</f>
        <v>6.6634807626230258E-3</v>
      </c>
      <c r="I24" s="94">
        <f t="shared" si="0"/>
        <v>5427012.9591536876</v>
      </c>
      <c r="J24" s="94">
        <f t="shared" si="1"/>
        <v>-89798592.959153682</v>
      </c>
      <c r="K24" s="85"/>
      <c r="L24" s="85"/>
      <c r="M24" s="85"/>
    </row>
    <row r="25" spans="1:15" s="86" customFormat="1" ht="18" customHeight="1" x14ac:dyDescent="0.2">
      <c r="A25" s="87">
        <v>16</v>
      </c>
      <c r="B25" s="88" t="s">
        <v>91</v>
      </c>
      <c r="C25" s="95">
        <f>177581771-48489539</f>
        <v>129092232</v>
      </c>
      <c r="D25" s="90">
        <f>C25/C10</f>
        <v>4741.8539523949457</v>
      </c>
      <c r="E25" s="91">
        <f>C25/C12</f>
        <v>1.0825970415957223E-2</v>
      </c>
      <c r="F25" s="95">
        <f>158243573-12125218</f>
        <v>146118355</v>
      </c>
      <c r="G25" s="90">
        <f>F25/F10</f>
        <v>5201.052003986616</v>
      </c>
      <c r="H25" s="91">
        <f>F25/F12</f>
        <v>1.1394428145784717E-2</v>
      </c>
      <c r="I25" s="94">
        <f t="shared" si="0"/>
        <v>4125412.9385836027</v>
      </c>
      <c r="J25" s="94">
        <f t="shared" si="1"/>
        <v>12900710.061416397</v>
      </c>
      <c r="K25" s="85"/>
      <c r="L25" s="85"/>
      <c r="M25" s="85"/>
    </row>
    <row r="26" spans="1:15" s="86" customFormat="1" ht="18" customHeight="1" x14ac:dyDescent="0.2">
      <c r="A26" s="87">
        <v>17</v>
      </c>
      <c r="B26" s="88" t="s">
        <v>92</v>
      </c>
      <c r="C26" s="95">
        <f>C12-C25</f>
        <v>11795218203</v>
      </c>
      <c r="D26" s="96">
        <f>C26/C10</f>
        <v>433265.43502057006</v>
      </c>
      <c r="E26" s="91">
        <f>C26/C12</f>
        <v>0.98917402958404277</v>
      </c>
      <c r="F26" s="95">
        <f>F12-F25</f>
        <v>12677548891</v>
      </c>
      <c r="G26" s="96">
        <f>F26/F10</f>
        <v>451254.67683491134</v>
      </c>
      <c r="H26" s="91">
        <f>F26/F12</f>
        <v>0.98860557185421527</v>
      </c>
      <c r="I26" s="94">
        <f t="shared" si="0"/>
        <v>376940928.46789593</v>
      </c>
      <c r="J26" s="94">
        <f t="shared" si="1"/>
        <v>505389759.53210407</v>
      </c>
      <c r="K26" s="85"/>
      <c r="L26" s="85"/>
    </row>
  </sheetData>
  <mergeCells count="7">
    <mergeCell ref="B1:E1"/>
    <mergeCell ref="B2:E2"/>
    <mergeCell ref="B4:J4"/>
    <mergeCell ref="B5:J5"/>
    <mergeCell ref="C7:E7"/>
    <mergeCell ref="F7:H7"/>
    <mergeCell ref="I7:J7"/>
  </mergeCells>
  <pageMargins left="0.28999999999999998" right="0.21" top="0.2" bottom="0.23" header="0.16" footer="0.15"/>
  <pageSetup scale="9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pane ySplit="8" topLeftCell="A9" activePane="bottomLeft" state="frozen"/>
      <selection pane="bottomLeft" activeCell="H25" sqref="H25"/>
    </sheetView>
  </sheetViews>
  <sheetFormatPr defaultColWidth="8.875" defaultRowHeight="15" x14ac:dyDescent="0.25"/>
  <cols>
    <col min="1" max="1" width="3.375" style="1" customWidth="1"/>
    <col min="2" max="2" width="11.5" style="1" customWidth="1"/>
    <col min="3" max="4" width="7.75" style="1" customWidth="1"/>
    <col min="5" max="6" width="6.625" style="1" customWidth="1"/>
    <col min="7" max="8" width="7.5" style="1" customWidth="1"/>
    <col min="9" max="9" width="7.25" style="1" customWidth="1"/>
    <col min="10" max="10" width="7.75" style="1" customWidth="1"/>
    <col min="11" max="11" width="7.5" style="1" customWidth="1"/>
    <col min="12" max="12" width="7.75" style="1" customWidth="1"/>
    <col min="13" max="13" width="7.625" style="1" customWidth="1"/>
    <col min="14" max="14" width="7.75" style="1" customWidth="1"/>
    <col min="15" max="15" width="8.375" style="1" customWidth="1"/>
    <col min="16" max="16" width="6.125" style="1" customWidth="1"/>
    <col min="17" max="17" width="4.375" style="1" customWidth="1"/>
    <col min="18" max="18" width="8.75" style="1" customWidth="1"/>
    <col min="19" max="19" width="6.375" style="1" customWidth="1"/>
    <col min="20" max="20" width="4.625" style="1" customWidth="1"/>
    <col min="21" max="21" width="7.75" style="1" customWidth="1"/>
    <col min="22" max="22" width="14.75" style="1" bestFit="1" customWidth="1"/>
    <col min="23" max="23" width="14.75" style="1" customWidth="1"/>
    <col min="24" max="24" width="11.375" style="1" customWidth="1"/>
    <col min="25" max="26" width="8.875" style="1"/>
    <col min="27" max="27" width="9.875" style="1" customWidth="1"/>
    <col min="28" max="29" width="8.875" style="1"/>
    <col min="30" max="30" width="11" style="1" customWidth="1"/>
    <col min="31" max="16384" width="8.875" style="1"/>
  </cols>
  <sheetData>
    <row r="1" spans="1:30" x14ac:dyDescent="0.25">
      <c r="A1" s="1" t="s">
        <v>0</v>
      </c>
    </row>
    <row r="2" spans="1:30" x14ac:dyDescent="0.25">
      <c r="A2" s="2" t="s">
        <v>1</v>
      </c>
    </row>
    <row r="4" spans="1:30" ht="20.25" x14ac:dyDescent="0.3">
      <c r="D4" s="8" t="s">
        <v>51</v>
      </c>
      <c r="O4" s="16"/>
      <c r="P4" s="16"/>
      <c r="Q4" s="16"/>
      <c r="R4" s="17"/>
      <c r="S4" s="16"/>
      <c r="T4" s="17"/>
    </row>
    <row r="5" spans="1:30" x14ac:dyDescent="0.25">
      <c r="O5" s="18"/>
      <c r="P5" s="18"/>
      <c r="Q5" s="18"/>
      <c r="R5" s="18"/>
      <c r="S5" s="18"/>
      <c r="T5" s="18"/>
    </row>
    <row r="6" spans="1:30" s="3" customFormat="1" ht="23.45" customHeight="1" x14ac:dyDescent="0.25">
      <c r="A6" s="162" t="s">
        <v>3</v>
      </c>
      <c r="B6" s="163" t="s">
        <v>4</v>
      </c>
      <c r="C6" s="164" t="s">
        <v>39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  <c r="O6" s="167" t="s">
        <v>29</v>
      </c>
      <c r="P6" s="168"/>
      <c r="Q6" s="168"/>
      <c r="R6" s="168"/>
      <c r="S6" s="168"/>
      <c r="T6" s="168"/>
      <c r="U6" s="169"/>
    </row>
    <row r="7" spans="1:30" s="3" customFormat="1" ht="22.15" customHeight="1" x14ac:dyDescent="0.25">
      <c r="A7" s="162"/>
      <c r="B7" s="163"/>
      <c r="C7" s="170" t="s">
        <v>6</v>
      </c>
      <c r="D7" s="170"/>
      <c r="E7" s="170" t="s">
        <v>49</v>
      </c>
      <c r="F7" s="170"/>
      <c r="G7" s="170" t="s">
        <v>7</v>
      </c>
      <c r="H7" s="170"/>
      <c r="I7" s="170" t="s">
        <v>8</v>
      </c>
      <c r="J7" s="170"/>
      <c r="K7" s="152" t="s">
        <v>48</v>
      </c>
      <c r="L7" s="153"/>
      <c r="M7" s="152" t="s">
        <v>50</v>
      </c>
      <c r="N7" s="153"/>
      <c r="O7" s="154" t="s">
        <v>55</v>
      </c>
      <c r="P7" s="158" t="s">
        <v>57</v>
      </c>
      <c r="Q7" s="160" t="s">
        <v>52</v>
      </c>
      <c r="R7" s="154" t="s">
        <v>56</v>
      </c>
      <c r="S7" s="158" t="s">
        <v>58</v>
      </c>
      <c r="T7" s="160" t="s">
        <v>52</v>
      </c>
      <c r="U7" s="154" t="s">
        <v>53</v>
      </c>
    </row>
    <row r="8" spans="1:30" s="3" customFormat="1" ht="57.6" customHeight="1" x14ac:dyDescent="0.25">
      <c r="A8" s="162"/>
      <c r="B8" s="163"/>
      <c r="C8" s="54">
        <v>2019</v>
      </c>
      <c r="D8" s="54">
        <v>2020</v>
      </c>
      <c r="E8" s="54">
        <v>2019</v>
      </c>
      <c r="F8" s="54">
        <v>2020</v>
      </c>
      <c r="G8" s="54">
        <v>2019</v>
      </c>
      <c r="H8" s="54">
        <v>2020</v>
      </c>
      <c r="I8" s="54">
        <v>2019</v>
      </c>
      <c r="J8" s="54">
        <v>2020</v>
      </c>
      <c r="K8" s="54">
        <v>2019</v>
      </c>
      <c r="L8" s="54">
        <v>2020</v>
      </c>
      <c r="M8" s="54">
        <v>2019</v>
      </c>
      <c r="N8" s="54">
        <v>2020</v>
      </c>
      <c r="O8" s="155"/>
      <c r="P8" s="159"/>
      <c r="Q8" s="161"/>
      <c r="R8" s="155"/>
      <c r="S8" s="159"/>
      <c r="T8" s="161"/>
      <c r="U8" s="155"/>
    </row>
    <row r="9" spans="1:30" s="3" customFormat="1" ht="18.600000000000001" customHeigh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56" t="s">
        <v>59</v>
      </c>
      <c r="P9" s="13">
        <v>16</v>
      </c>
      <c r="Q9" s="13">
        <v>17</v>
      </c>
      <c r="R9" s="56" t="s">
        <v>60</v>
      </c>
      <c r="S9" s="13">
        <v>19</v>
      </c>
      <c r="T9" s="13">
        <v>20</v>
      </c>
      <c r="U9" s="13" t="s">
        <v>61</v>
      </c>
    </row>
    <row r="10" spans="1:30" s="57" customFormat="1" ht="18.600000000000001" customHeight="1" x14ac:dyDescent="0.2">
      <c r="A10" s="55" t="s">
        <v>44</v>
      </c>
      <c r="B10" s="55" t="s">
        <v>45</v>
      </c>
      <c r="C10" s="71">
        <f>SUM(C13:C21)</f>
        <v>518606824</v>
      </c>
      <c r="D10" s="71">
        <f t="shared" ref="D10:M10" si="0">SUM(D13:D21)</f>
        <v>558614843</v>
      </c>
      <c r="E10" s="71">
        <f t="shared" si="0"/>
        <v>7454000</v>
      </c>
      <c r="F10" s="71">
        <f t="shared" si="0"/>
        <v>8424400</v>
      </c>
      <c r="G10" s="71">
        <f t="shared" si="0"/>
        <v>0</v>
      </c>
      <c r="H10" s="71">
        <f t="shared" si="0"/>
        <v>41059020</v>
      </c>
      <c r="I10" s="71">
        <f t="shared" si="0"/>
        <v>232000</v>
      </c>
      <c r="J10" s="71">
        <f t="shared" si="0"/>
        <v>0</v>
      </c>
      <c r="K10" s="71">
        <f t="shared" si="0"/>
        <v>30799697</v>
      </c>
      <c r="L10" s="71">
        <f t="shared" si="0"/>
        <v>27410414</v>
      </c>
      <c r="M10" s="71">
        <f t="shared" si="0"/>
        <v>0</v>
      </c>
      <c r="N10" s="71">
        <f>SUM(N13:N21)</f>
        <v>30500</v>
      </c>
      <c r="O10" s="71">
        <f>SUM(O13:O21)</f>
        <v>557092521</v>
      </c>
      <c r="P10" s="71">
        <f>O10/$O$11</f>
        <v>198253.56619217081</v>
      </c>
      <c r="Q10" s="71"/>
      <c r="R10" s="71">
        <f t="shared" ref="R10:U10" si="1">SUM(R13:R21)</f>
        <v>635539177</v>
      </c>
      <c r="S10" s="71">
        <f>R10/$R$11</f>
        <v>211423.54524284764</v>
      </c>
      <c r="T10" s="71"/>
      <c r="U10" s="71">
        <f t="shared" si="1"/>
        <v>78446656</v>
      </c>
    </row>
    <row r="11" spans="1:30" s="60" customFormat="1" ht="21" customHeight="1" x14ac:dyDescent="0.2">
      <c r="A11" s="58">
        <v>1</v>
      </c>
      <c r="B11" s="59" t="s">
        <v>11</v>
      </c>
      <c r="C11" s="67">
        <v>2453</v>
      </c>
      <c r="D11" s="67">
        <v>2441</v>
      </c>
      <c r="E11" s="67">
        <v>203</v>
      </c>
      <c r="F11" s="67">
        <v>214</v>
      </c>
      <c r="G11" s="67"/>
      <c r="H11" s="67">
        <v>183</v>
      </c>
      <c r="I11" s="67">
        <v>8</v>
      </c>
      <c r="J11" s="67"/>
      <c r="K11" s="67">
        <f>84+62</f>
        <v>146</v>
      </c>
      <c r="L11" s="67">
        <v>167</v>
      </c>
      <c r="M11" s="67"/>
      <c r="N11" s="67">
        <v>1</v>
      </c>
      <c r="O11" s="68">
        <f>C11+E11+G11+I11+K11+M11</f>
        <v>2810</v>
      </c>
      <c r="P11" s="68"/>
      <c r="Q11" s="68"/>
      <c r="R11" s="68">
        <f>D11+F11+H11+J11+L11+N11</f>
        <v>3006</v>
      </c>
      <c r="S11" s="68"/>
      <c r="T11" s="68"/>
      <c r="U11" s="68">
        <f>R11-O11</f>
        <v>196</v>
      </c>
    </row>
    <row r="12" spans="1:30" s="60" customFormat="1" ht="21" customHeight="1" x14ac:dyDescent="0.2">
      <c r="A12" s="58">
        <v>2</v>
      </c>
      <c r="B12" s="59" t="s">
        <v>12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8">
        <f t="shared" ref="O12:O21" si="2">C12+E12+G12+I12+K12+M12</f>
        <v>0</v>
      </c>
      <c r="P12" s="68"/>
      <c r="Q12" s="68"/>
      <c r="R12" s="68">
        <f t="shared" ref="R12:R21" si="3">D12+F12+H12+J12+L12+N12</f>
        <v>0</v>
      </c>
      <c r="S12" s="68"/>
      <c r="T12" s="68"/>
      <c r="U12" s="68">
        <f t="shared" ref="U12:U21" si="4">R12-O12</f>
        <v>0</v>
      </c>
    </row>
    <row r="13" spans="1:30" s="60" customFormat="1" ht="21" customHeight="1" x14ac:dyDescent="0.2">
      <c r="A13" s="58">
        <v>3</v>
      </c>
      <c r="B13" s="59" t="s">
        <v>13</v>
      </c>
      <c r="C13" s="67">
        <v>103263200</v>
      </c>
      <c r="D13" s="67">
        <v>96049500</v>
      </c>
      <c r="E13" s="67">
        <v>1511800</v>
      </c>
      <c r="F13" s="67">
        <v>1897400</v>
      </c>
      <c r="G13" s="67"/>
      <c r="H13" s="67">
        <v>1549300</v>
      </c>
      <c r="I13" s="67"/>
      <c r="J13" s="67"/>
      <c r="K13" s="67">
        <f>6254900+5909900</f>
        <v>12164800</v>
      </c>
      <c r="L13" s="67">
        <v>10493400</v>
      </c>
      <c r="M13" s="67"/>
      <c r="N13" s="67"/>
      <c r="O13" s="68">
        <f t="shared" si="2"/>
        <v>116939800</v>
      </c>
      <c r="P13" s="68">
        <f>O13/$O$11</f>
        <v>41615.587188612102</v>
      </c>
      <c r="Q13" s="69">
        <f>O13/$O$10*100</f>
        <v>20.99109135231058</v>
      </c>
      <c r="R13" s="68">
        <f t="shared" si="3"/>
        <v>109989600</v>
      </c>
      <c r="S13" s="68">
        <f>R13/$R$11</f>
        <v>36590.019960079837</v>
      </c>
      <c r="T13" s="70">
        <f>R13/$R$10*100</f>
        <v>17.306501940477542</v>
      </c>
      <c r="U13" s="68">
        <f t="shared" si="4"/>
        <v>-6950200</v>
      </c>
      <c r="AD13" s="61"/>
    </row>
    <row r="14" spans="1:30" s="60" customFormat="1" ht="21" customHeight="1" x14ac:dyDescent="0.2">
      <c r="A14" s="58">
        <v>4</v>
      </c>
      <c r="B14" s="59" t="s">
        <v>14</v>
      </c>
      <c r="C14" s="67">
        <v>75156600</v>
      </c>
      <c r="D14" s="67">
        <v>54528700</v>
      </c>
      <c r="E14" s="67">
        <v>55200</v>
      </c>
      <c r="F14" s="67"/>
      <c r="G14" s="67"/>
      <c r="H14" s="67">
        <v>10045600</v>
      </c>
      <c r="I14" s="67"/>
      <c r="J14" s="67"/>
      <c r="K14" s="67">
        <f>2920900+2591400</f>
        <v>5512300</v>
      </c>
      <c r="L14" s="67">
        <v>5864000</v>
      </c>
      <c r="M14" s="67"/>
      <c r="N14" s="67"/>
      <c r="O14" s="68">
        <f t="shared" si="2"/>
        <v>80724100</v>
      </c>
      <c r="P14" s="68">
        <f t="shared" ref="P14:P21" si="5">O14/$O$11</f>
        <v>28727.437722419927</v>
      </c>
      <c r="Q14" s="69">
        <f t="shared" ref="Q14:Q21" si="6">O14/$O$10*100</f>
        <v>14.490250175158966</v>
      </c>
      <c r="R14" s="68">
        <f t="shared" si="3"/>
        <v>70438300</v>
      </c>
      <c r="S14" s="68">
        <f t="shared" ref="S14:S21" si="7">R14/$R$11</f>
        <v>23432.568196939454</v>
      </c>
      <c r="T14" s="70">
        <f t="shared" ref="T14:T21" si="8">R14/$R$10*100</f>
        <v>11.08323492070104</v>
      </c>
      <c r="U14" s="68">
        <f t="shared" si="4"/>
        <v>-10285800</v>
      </c>
      <c r="AD14" s="61"/>
    </row>
    <row r="15" spans="1:30" s="60" customFormat="1" ht="21" customHeight="1" x14ac:dyDescent="0.2">
      <c r="A15" s="58">
        <v>5</v>
      </c>
      <c r="B15" s="59" t="s">
        <v>17</v>
      </c>
      <c r="C15" s="67">
        <v>14806500</v>
      </c>
      <c r="D15" s="67">
        <v>74096700</v>
      </c>
      <c r="E15" s="67"/>
      <c r="F15" s="67"/>
      <c r="G15" s="67"/>
      <c r="H15" s="67">
        <v>10876800</v>
      </c>
      <c r="I15" s="67"/>
      <c r="J15" s="67"/>
      <c r="K15" s="67">
        <f>1311200+519900</f>
        <v>1831100</v>
      </c>
      <c r="L15" s="67">
        <v>291000</v>
      </c>
      <c r="M15" s="67"/>
      <c r="N15" s="67"/>
      <c r="O15" s="68">
        <f t="shared" si="2"/>
        <v>16637600</v>
      </c>
      <c r="P15" s="68">
        <f t="shared" si="5"/>
        <v>5920.8540925266907</v>
      </c>
      <c r="Q15" s="69">
        <f t="shared" si="6"/>
        <v>2.9865057190383641</v>
      </c>
      <c r="R15" s="68">
        <f t="shared" si="3"/>
        <v>85264500</v>
      </c>
      <c r="S15" s="68">
        <f t="shared" si="7"/>
        <v>28364.770459081836</v>
      </c>
      <c r="T15" s="70">
        <f t="shared" si="8"/>
        <v>13.416088745698207</v>
      </c>
      <c r="U15" s="68">
        <f t="shared" si="4"/>
        <v>68626900</v>
      </c>
      <c r="AD15" s="61"/>
    </row>
    <row r="16" spans="1:30" s="60" customFormat="1" ht="21" customHeight="1" x14ac:dyDescent="0.2">
      <c r="A16" s="58">
        <v>6</v>
      </c>
      <c r="B16" s="59" t="s">
        <v>19</v>
      </c>
      <c r="C16" s="67">
        <v>71137000</v>
      </c>
      <c r="D16" s="67">
        <v>74456600</v>
      </c>
      <c r="E16" s="67">
        <v>5887000</v>
      </c>
      <c r="F16" s="67">
        <v>6527000</v>
      </c>
      <c r="G16" s="67"/>
      <c r="H16" s="67">
        <v>5337500</v>
      </c>
      <c r="I16" s="67">
        <v>232000</v>
      </c>
      <c r="J16" s="67"/>
      <c r="K16" s="67">
        <f>2436000+1798000</f>
        <v>4234000</v>
      </c>
      <c r="L16" s="67">
        <v>5093500</v>
      </c>
      <c r="M16" s="67"/>
      <c r="N16" s="67">
        <v>30500</v>
      </c>
      <c r="O16" s="68">
        <f t="shared" si="2"/>
        <v>81490000</v>
      </c>
      <c r="P16" s="68">
        <f t="shared" si="5"/>
        <v>29000</v>
      </c>
      <c r="Q16" s="69">
        <f t="shared" si="6"/>
        <v>14.627731826972418</v>
      </c>
      <c r="R16" s="68">
        <f t="shared" si="3"/>
        <v>91445100</v>
      </c>
      <c r="S16" s="68">
        <f t="shared" si="7"/>
        <v>30420.858283433136</v>
      </c>
      <c r="T16" s="70">
        <f t="shared" si="8"/>
        <v>14.388585835362278</v>
      </c>
      <c r="U16" s="68">
        <f t="shared" si="4"/>
        <v>9955100</v>
      </c>
      <c r="AD16" s="61"/>
    </row>
    <row r="17" spans="1:30" s="60" customFormat="1" ht="21" customHeight="1" x14ac:dyDescent="0.2">
      <c r="A17" s="58">
        <v>7</v>
      </c>
      <c r="B17" s="59" t="s">
        <v>20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>
        <f t="shared" si="2"/>
        <v>0</v>
      </c>
      <c r="P17" s="68">
        <f t="shared" si="5"/>
        <v>0</v>
      </c>
      <c r="Q17" s="69">
        <f t="shared" si="6"/>
        <v>0</v>
      </c>
      <c r="R17" s="68">
        <f t="shared" si="3"/>
        <v>0</v>
      </c>
      <c r="S17" s="68">
        <f t="shared" si="7"/>
        <v>0</v>
      </c>
      <c r="T17" s="70">
        <f t="shared" si="8"/>
        <v>0</v>
      </c>
      <c r="U17" s="68">
        <f t="shared" si="4"/>
        <v>0</v>
      </c>
      <c r="V17" s="62"/>
      <c r="AD17" s="61"/>
    </row>
    <row r="18" spans="1:30" s="60" customFormat="1" ht="21" customHeight="1" x14ac:dyDescent="0.2">
      <c r="A18" s="58">
        <v>8</v>
      </c>
      <c r="B18" s="59" t="s">
        <v>15</v>
      </c>
      <c r="C18" s="67">
        <f>254057524+186000</f>
        <v>254243524</v>
      </c>
      <c r="D18" s="67">
        <v>259483343</v>
      </c>
      <c r="E18" s="67"/>
      <c r="F18" s="67"/>
      <c r="G18" s="67"/>
      <c r="H18" s="67">
        <v>13211318</v>
      </c>
      <c r="I18" s="67"/>
      <c r="J18" s="67"/>
      <c r="K18" s="67">
        <f>3821400+3236097</f>
        <v>7057497</v>
      </c>
      <c r="L18" s="67">
        <v>5668514</v>
      </c>
      <c r="M18" s="67"/>
      <c r="N18" s="67"/>
      <c r="O18" s="68">
        <f t="shared" si="2"/>
        <v>261301021</v>
      </c>
      <c r="P18" s="68">
        <f t="shared" si="5"/>
        <v>92989.687188612093</v>
      </c>
      <c r="Q18" s="69">
        <f t="shared" si="6"/>
        <v>46.904420926519677</v>
      </c>
      <c r="R18" s="68">
        <f t="shared" si="3"/>
        <v>278363175</v>
      </c>
      <c r="S18" s="68">
        <f t="shared" si="7"/>
        <v>92602.519960079837</v>
      </c>
      <c r="T18" s="70">
        <f t="shared" si="8"/>
        <v>43.799530394646311</v>
      </c>
      <c r="U18" s="68">
        <f t="shared" si="4"/>
        <v>17062154</v>
      </c>
      <c r="V18" s="63"/>
      <c r="W18" s="63"/>
    </row>
    <row r="19" spans="1:30" s="60" customFormat="1" ht="21" customHeight="1" x14ac:dyDescent="0.2">
      <c r="A19" s="58">
        <v>9</v>
      </c>
      <c r="B19" s="59" t="s">
        <v>16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>
        <f t="shared" si="2"/>
        <v>0</v>
      </c>
      <c r="P19" s="68">
        <f t="shared" si="5"/>
        <v>0</v>
      </c>
      <c r="Q19" s="69">
        <f t="shared" si="6"/>
        <v>0</v>
      </c>
      <c r="R19" s="68">
        <f t="shared" si="3"/>
        <v>0</v>
      </c>
      <c r="S19" s="68">
        <f t="shared" si="7"/>
        <v>0</v>
      </c>
      <c r="T19" s="70">
        <f t="shared" si="8"/>
        <v>0</v>
      </c>
      <c r="U19" s="68">
        <f t="shared" si="4"/>
        <v>0</v>
      </c>
    </row>
    <row r="20" spans="1:30" s="60" customFormat="1" ht="21" customHeight="1" x14ac:dyDescent="0.2">
      <c r="A20" s="58">
        <v>10</v>
      </c>
      <c r="B20" s="59" t="s">
        <v>24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>
        <f t="shared" si="2"/>
        <v>0</v>
      </c>
      <c r="P20" s="68">
        <f t="shared" si="5"/>
        <v>0</v>
      </c>
      <c r="Q20" s="69">
        <f t="shared" si="6"/>
        <v>0</v>
      </c>
      <c r="R20" s="68">
        <f t="shared" si="3"/>
        <v>0</v>
      </c>
      <c r="S20" s="68">
        <f t="shared" si="7"/>
        <v>0</v>
      </c>
      <c r="T20" s="70">
        <f t="shared" si="8"/>
        <v>0</v>
      </c>
      <c r="U20" s="68">
        <f t="shared" si="4"/>
        <v>0</v>
      </c>
    </row>
    <row r="21" spans="1:30" s="60" customFormat="1" ht="21" customHeight="1" x14ac:dyDescent="0.2">
      <c r="A21" s="58">
        <v>11</v>
      </c>
      <c r="B21" s="59" t="s">
        <v>18</v>
      </c>
      <c r="C21" s="67"/>
      <c r="D21" s="67"/>
      <c r="E21" s="67"/>
      <c r="F21" s="67"/>
      <c r="G21" s="67"/>
      <c r="H21" s="67">
        <v>38502</v>
      </c>
      <c r="I21" s="67"/>
      <c r="J21" s="67"/>
      <c r="K21" s="67"/>
      <c r="L21" s="67"/>
      <c r="M21" s="67"/>
      <c r="N21" s="67"/>
      <c r="O21" s="68">
        <f t="shared" si="2"/>
        <v>0</v>
      </c>
      <c r="P21" s="68">
        <f t="shared" si="5"/>
        <v>0</v>
      </c>
      <c r="Q21" s="69">
        <f t="shared" si="6"/>
        <v>0</v>
      </c>
      <c r="R21" s="68">
        <f t="shared" si="3"/>
        <v>38502</v>
      </c>
      <c r="S21" s="68">
        <f t="shared" si="7"/>
        <v>12.808383233532934</v>
      </c>
      <c r="T21" s="70">
        <f t="shared" si="8"/>
        <v>6.0581631146241679E-3</v>
      </c>
      <c r="U21" s="68">
        <f t="shared" si="4"/>
        <v>38502</v>
      </c>
    </row>
    <row r="22" spans="1:30" s="57" customFormat="1" ht="18.600000000000001" customHeight="1" x14ac:dyDescent="0.2">
      <c r="A22" s="55" t="s">
        <v>46</v>
      </c>
      <c r="B22" s="55" t="s">
        <v>47</v>
      </c>
      <c r="C22" s="71">
        <f>SUM(C25:C33)</f>
        <v>0</v>
      </c>
      <c r="D22" s="71">
        <f t="shared" ref="D22:U22" si="9">SUM(D25:D33)</f>
        <v>0</v>
      </c>
      <c r="E22" s="71">
        <f t="shared" si="9"/>
        <v>0</v>
      </c>
      <c r="F22" s="71">
        <f t="shared" si="9"/>
        <v>0</v>
      </c>
      <c r="G22" s="71">
        <f t="shared" si="9"/>
        <v>120916431</v>
      </c>
      <c r="H22" s="71">
        <f t="shared" si="9"/>
        <v>198864511</v>
      </c>
      <c r="I22" s="71">
        <f t="shared" si="9"/>
        <v>322804774</v>
      </c>
      <c r="J22" s="71">
        <f t="shared" si="9"/>
        <v>377764916</v>
      </c>
      <c r="K22" s="71">
        <f t="shared" si="9"/>
        <v>70605956</v>
      </c>
      <c r="L22" s="71">
        <f t="shared" si="9"/>
        <v>189316613</v>
      </c>
      <c r="M22" s="71">
        <f t="shared" si="9"/>
        <v>430652292</v>
      </c>
      <c r="N22" s="71">
        <f t="shared" si="9"/>
        <v>327586087</v>
      </c>
      <c r="O22" s="71">
        <f t="shared" si="9"/>
        <v>944979453</v>
      </c>
      <c r="P22" s="71">
        <f>O22/$O$23</f>
        <v>1654955.2591943957</v>
      </c>
      <c r="Q22" s="72"/>
      <c r="R22" s="71">
        <f t="shared" si="9"/>
        <v>1093532127</v>
      </c>
      <c r="S22" s="71">
        <f>R22/$R$23</f>
        <v>1700672.0482115087</v>
      </c>
      <c r="T22" s="71"/>
      <c r="U22" s="71">
        <f t="shared" si="9"/>
        <v>148552674</v>
      </c>
    </row>
    <row r="23" spans="1:30" s="60" customFormat="1" ht="21" customHeight="1" x14ac:dyDescent="0.2">
      <c r="A23" s="58">
        <v>1</v>
      </c>
      <c r="B23" s="59" t="s">
        <v>11</v>
      </c>
      <c r="C23" s="67"/>
      <c r="D23" s="67"/>
      <c r="E23" s="67"/>
      <c r="F23" s="67"/>
      <c r="G23" s="67">
        <v>52</v>
      </c>
      <c r="H23" s="67">
        <v>77</v>
      </c>
      <c r="I23" s="67">
        <v>268</v>
      </c>
      <c r="J23" s="67">
        <v>333</v>
      </c>
      <c r="K23" s="67">
        <v>25</v>
      </c>
      <c r="L23" s="67">
        <v>89</v>
      </c>
      <c r="M23" s="67">
        <v>226</v>
      </c>
      <c r="N23" s="67">
        <v>144</v>
      </c>
      <c r="O23" s="68">
        <f>C23+E23+G23+I23+K23+M23</f>
        <v>571</v>
      </c>
      <c r="P23" s="68"/>
      <c r="Q23" s="69"/>
      <c r="R23" s="68">
        <f>D23+F23+H23+J23+L23+N23</f>
        <v>643</v>
      </c>
      <c r="S23" s="68"/>
      <c r="T23" s="69"/>
      <c r="U23" s="68">
        <f>R23-O23</f>
        <v>72</v>
      </c>
    </row>
    <row r="24" spans="1:30" s="60" customFormat="1" ht="21" customHeight="1" x14ac:dyDescent="0.2">
      <c r="A24" s="58">
        <v>2</v>
      </c>
      <c r="B24" s="59" t="s">
        <v>12</v>
      </c>
      <c r="C24" s="67"/>
      <c r="D24" s="67"/>
      <c r="E24" s="67"/>
      <c r="F24" s="67"/>
      <c r="G24" s="67">
        <v>451</v>
      </c>
      <c r="H24" s="67">
        <v>672</v>
      </c>
      <c r="I24" s="67">
        <v>1297</v>
      </c>
      <c r="J24" s="67">
        <v>1508</v>
      </c>
      <c r="K24" s="67">
        <v>106</v>
      </c>
      <c r="L24" s="67">
        <v>281</v>
      </c>
      <c r="M24" s="67">
        <v>941</v>
      </c>
      <c r="N24" s="67">
        <v>696</v>
      </c>
      <c r="O24" s="68">
        <f t="shared" ref="O24:O33" si="10">C24+E24+G24+I24+K24+M24</f>
        <v>2795</v>
      </c>
      <c r="P24" s="68"/>
      <c r="Q24" s="69"/>
      <c r="R24" s="68">
        <f t="shared" ref="R24:R33" si="11">D24+F24+H24+J24+L24+N24</f>
        <v>3157</v>
      </c>
      <c r="S24" s="68"/>
      <c r="T24" s="69"/>
      <c r="U24" s="68">
        <f t="shared" ref="U24:U33" si="12">R24-O24</f>
        <v>362</v>
      </c>
    </row>
    <row r="25" spans="1:30" s="60" customFormat="1" ht="21" customHeight="1" x14ac:dyDescent="0.2">
      <c r="A25" s="58">
        <v>3</v>
      </c>
      <c r="B25" s="59" t="s">
        <v>13</v>
      </c>
      <c r="C25" s="67"/>
      <c r="D25" s="67"/>
      <c r="E25" s="67"/>
      <c r="F25" s="67"/>
      <c r="G25" s="67">
        <v>1994800</v>
      </c>
      <c r="H25" s="67">
        <v>1263800</v>
      </c>
      <c r="I25" s="67">
        <v>22479600</v>
      </c>
      <c r="J25" s="67">
        <v>31789600</v>
      </c>
      <c r="K25" s="67">
        <v>3747300</v>
      </c>
      <c r="L25" s="67">
        <v>13184700</v>
      </c>
      <c r="M25" s="67">
        <v>19259500</v>
      </c>
      <c r="N25" s="67">
        <v>10422700</v>
      </c>
      <c r="O25" s="68">
        <f t="shared" si="10"/>
        <v>47481200</v>
      </c>
      <c r="P25" s="68">
        <f>O25/$O$23</f>
        <v>83154.465849387037</v>
      </c>
      <c r="Q25" s="69">
        <f>O25/$O$22</f>
        <v>5.0245748570789298E-2</v>
      </c>
      <c r="R25" s="68">
        <f t="shared" si="11"/>
        <v>56660800</v>
      </c>
      <c r="S25" s="68">
        <f>R25/$R$23</f>
        <v>88119.440124416797</v>
      </c>
      <c r="T25" s="70">
        <f>R25/$R$22*100</f>
        <v>5.1814481349938424</v>
      </c>
      <c r="U25" s="68">
        <f t="shared" si="12"/>
        <v>9179600</v>
      </c>
      <c r="V25" s="60" t="e">
        <f>O25/O46*100</f>
        <v>#DIV/0!</v>
      </c>
      <c r="W25" s="60" t="e">
        <f>R25/R46*100</f>
        <v>#DIV/0!</v>
      </c>
      <c r="X25" s="60">
        <v>218217100</v>
      </c>
      <c r="Y25" s="60">
        <v>2968500</v>
      </c>
      <c r="Z25" s="60">
        <v>1365400</v>
      </c>
      <c r="AA25" s="60">
        <v>65072800</v>
      </c>
      <c r="AB25" s="60">
        <v>1146100</v>
      </c>
      <c r="AC25" s="60">
        <v>566800</v>
      </c>
      <c r="AD25" s="61">
        <f>SUM(X25:AC25)</f>
        <v>289336700</v>
      </c>
    </row>
    <row r="26" spans="1:30" s="60" customFormat="1" ht="21" customHeight="1" x14ac:dyDescent="0.2">
      <c r="A26" s="58">
        <v>4</v>
      </c>
      <c r="B26" s="59" t="s">
        <v>14</v>
      </c>
      <c r="C26" s="67"/>
      <c r="D26" s="67"/>
      <c r="E26" s="67"/>
      <c r="F26" s="67"/>
      <c r="G26" s="67">
        <v>4622300</v>
      </c>
      <c r="H26" s="67">
        <v>5300700</v>
      </c>
      <c r="I26" s="67">
        <v>8202100</v>
      </c>
      <c r="J26" s="67">
        <v>10618200</v>
      </c>
      <c r="K26" s="67">
        <v>1136700</v>
      </c>
      <c r="L26" s="67">
        <v>4438700</v>
      </c>
      <c r="M26" s="67">
        <v>9730200</v>
      </c>
      <c r="N26" s="67">
        <v>3371300</v>
      </c>
      <c r="O26" s="68">
        <f t="shared" si="10"/>
        <v>23691300</v>
      </c>
      <c r="P26" s="68">
        <f t="shared" ref="P26:P33" si="13">O26/$O$23</f>
        <v>41490.89316987741</v>
      </c>
      <c r="Q26" s="69">
        <f t="shared" ref="Q26:Q33" si="14">O26/$O$22</f>
        <v>2.5070703838890769E-2</v>
      </c>
      <c r="R26" s="68">
        <f t="shared" si="11"/>
        <v>23728900</v>
      </c>
      <c r="S26" s="68">
        <f t="shared" ref="S26:S33" si="15">R26/$R$23</f>
        <v>36903.421461897356</v>
      </c>
      <c r="T26" s="70">
        <f t="shared" ref="T26:T33" si="16">R26/$R$22*100</f>
        <v>2.1699316749932125</v>
      </c>
      <c r="U26" s="68">
        <f t="shared" si="12"/>
        <v>37600</v>
      </c>
      <c r="X26" s="60">
        <v>270077800</v>
      </c>
      <c r="Y26" s="60">
        <v>4139400</v>
      </c>
      <c r="Z26" s="60">
        <v>2227600</v>
      </c>
      <c r="AA26" s="60">
        <v>59759100</v>
      </c>
      <c r="AB26" s="60">
        <v>1077300</v>
      </c>
      <c r="AC26" s="60">
        <v>479000</v>
      </c>
      <c r="AD26" s="61">
        <f t="shared" ref="AD26:AD29" si="17">SUM(X26:AC26)</f>
        <v>337760200</v>
      </c>
    </row>
    <row r="27" spans="1:30" s="60" customFormat="1" ht="21" customHeight="1" x14ac:dyDescent="0.2">
      <c r="A27" s="58">
        <v>5</v>
      </c>
      <c r="B27" s="59" t="s">
        <v>17</v>
      </c>
      <c r="C27" s="67"/>
      <c r="D27" s="67"/>
      <c r="E27" s="67"/>
      <c r="F27" s="67"/>
      <c r="G27" s="67">
        <v>72547400</v>
      </c>
      <c r="H27" s="67">
        <v>136779200</v>
      </c>
      <c r="I27" s="67">
        <v>6150800</v>
      </c>
      <c r="J27" s="67">
        <v>8439300</v>
      </c>
      <c r="K27" s="67">
        <v>37523200</v>
      </c>
      <c r="L27" s="67">
        <v>98091200</v>
      </c>
      <c r="M27" s="67">
        <v>140299300</v>
      </c>
      <c r="N27" s="67">
        <v>92178800</v>
      </c>
      <c r="O27" s="68">
        <f t="shared" si="10"/>
        <v>256520700</v>
      </c>
      <c r="P27" s="68">
        <f t="shared" si="13"/>
        <v>449248.16112084064</v>
      </c>
      <c r="Q27" s="69">
        <f t="shared" si="14"/>
        <v>0.27145637842773285</v>
      </c>
      <c r="R27" s="68">
        <f t="shared" si="11"/>
        <v>335488500</v>
      </c>
      <c r="S27" s="68">
        <f t="shared" si="15"/>
        <v>521755.05443234835</v>
      </c>
      <c r="T27" s="70">
        <f t="shared" si="16"/>
        <v>30.679345555249515</v>
      </c>
      <c r="U27" s="68">
        <f t="shared" si="12"/>
        <v>78967800</v>
      </c>
      <c r="X27" s="60">
        <v>255035900</v>
      </c>
      <c r="Y27" s="60">
        <v>7899100</v>
      </c>
      <c r="Z27" s="60">
        <v>5514800</v>
      </c>
      <c r="AA27" s="60">
        <v>100997500</v>
      </c>
      <c r="AB27" s="60">
        <v>3142600</v>
      </c>
      <c r="AC27" s="60">
        <v>2477900</v>
      </c>
      <c r="AD27" s="61">
        <f t="shared" si="17"/>
        <v>375067800</v>
      </c>
    </row>
    <row r="28" spans="1:30" s="60" customFormat="1" ht="21" customHeight="1" x14ac:dyDescent="0.2">
      <c r="A28" s="58">
        <v>6</v>
      </c>
      <c r="B28" s="59" t="s">
        <v>19</v>
      </c>
      <c r="C28" s="67"/>
      <c r="D28" s="67"/>
      <c r="E28" s="67"/>
      <c r="F28" s="67"/>
      <c r="G28" s="67">
        <v>1247000</v>
      </c>
      <c r="H28" s="67">
        <v>2318000</v>
      </c>
      <c r="I28" s="67">
        <v>4213700</v>
      </c>
      <c r="J28" s="67">
        <v>5499150</v>
      </c>
      <c r="K28" s="67">
        <v>290000</v>
      </c>
      <c r="L28" s="67">
        <v>1024800</v>
      </c>
      <c r="M28" s="67">
        <v>3999200</v>
      </c>
      <c r="N28" s="67">
        <v>3385500</v>
      </c>
      <c r="O28" s="68">
        <f t="shared" si="10"/>
        <v>9749900</v>
      </c>
      <c r="P28" s="68">
        <f t="shared" si="13"/>
        <v>17075.131348511382</v>
      </c>
      <c r="Q28" s="69">
        <f t="shared" si="14"/>
        <v>1.0317578830997079E-2</v>
      </c>
      <c r="R28" s="68">
        <f t="shared" si="11"/>
        <v>12227450</v>
      </c>
      <c r="S28" s="68">
        <f t="shared" si="15"/>
        <v>19016.251944012442</v>
      </c>
      <c r="T28" s="70">
        <f t="shared" si="16"/>
        <v>1.1181610213451003</v>
      </c>
      <c r="U28" s="68">
        <f t="shared" si="12"/>
        <v>2477550</v>
      </c>
      <c r="X28" s="60">
        <v>400014300</v>
      </c>
      <c r="Y28" s="60">
        <v>4725000</v>
      </c>
      <c r="Z28" s="60">
        <v>2058000</v>
      </c>
      <c r="AA28" s="60">
        <v>135454200</v>
      </c>
      <c r="AB28" s="60">
        <v>1932000</v>
      </c>
      <c r="AC28" s="60">
        <v>945000</v>
      </c>
      <c r="AD28" s="61">
        <f t="shared" si="17"/>
        <v>545128500</v>
      </c>
    </row>
    <row r="29" spans="1:30" s="60" customFormat="1" ht="21" customHeight="1" x14ac:dyDescent="0.2">
      <c r="A29" s="58">
        <v>7</v>
      </c>
      <c r="B29" s="59" t="s">
        <v>20</v>
      </c>
      <c r="C29" s="67"/>
      <c r="D29" s="67"/>
      <c r="E29" s="67"/>
      <c r="F29" s="67"/>
      <c r="G29" s="67">
        <v>27422000</v>
      </c>
      <c r="H29" s="67">
        <v>39042640</v>
      </c>
      <c r="I29" s="67">
        <v>183825400</v>
      </c>
      <c r="J29" s="67">
        <v>223810410</v>
      </c>
      <c r="K29" s="67">
        <v>16820000</v>
      </c>
      <c r="L29" s="67">
        <v>45161300</v>
      </c>
      <c r="M29" s="67">
        <v>137233000</v>
      </c>
      <c r="N29" s="67">
        <v>107211600</v>
      </c>
      <c r="O29" s="68">
        <f t="shared" si="10"/>
        <v>365300400</v>
      </c>
      <c r="P29" s="68">
        <f t="shared" si="13"/>
        <v>639755.51663747814</v>
      </c>
      <c r="Q29" s="69">
        <f t="shared" si="14"/>
        <v>0.3865696749704885</v>
      </c>
      <c r="R29" s="68">
        <f t="shared" si="11"/>
        <v>415225950</v>
      </c>
      <c r="S29" s="68">
        <f t="shared" si="15"/>
        <v>645763.53032659413</v>
      </c>
      <c r="T29" s="70">
        <f t="shared" si="16"/>
        <v>37.971079198114857</v>
      </c>
      <c r="U29" s="68">
        <f t="shared" si="12"/>
        <v>49925550</v>
      </c>
      <c r="V29" s="62"/>
      <c r="X29" s="60">
        <v>2075395500</v>
      </c>
      <c r="Y29" s="60">
        <v>40663200</v>
      </c>
      <c r="Z29" s="60">
        <v>15794800</v>
      </c>
      <c r="AA29" s="60">
        <v>757835700</v>
      </c>
      <c r="AB29" s="60">
        <v>18689100</v>
      </c>
      <c r="AC29" s="60">
        <v>8171800</v>
      </c>
      <c r="AD29" s="61">
        <f t="shared" si="17"/>
        <v>2916550100</v>
      </c>
    </row>
    <row r="30" spans="1:30" s="60" customFormat="1" ht="21" customHeight="1" x14ac:dyDescent="0.2">
      <c r="A30" s="58">
        <v>8</v>
      </c>
      <c r="B30" s="59" t="s">
        <v>15</v>
      </c>
      <c r="C30" s="67"/>
      <c r="D30" s="67"/>
      <c r="E30" s="67"/>
      <c r="F30" s="67"/>
      <c r="G30" s="67">
        <v>12689541</v>
      </c>
      <c r="H30" s="67">
        <v>13662993</v>
      </c>
      <c r="I30" s="67">
        <f>73735735+284496</f>
        <v>74020231</v>
      </c>
      <c r="J30" s="67">
        <v>80848036</v>
      </c>
      <c r="K30" s="67">
        <v>10660242</v>
      </c>
      <c r="L30" s="67">
        <v>25247398</v>
      </c>
      <c r="M30" s="67">
        <v>105320937</v>
      </c>
      <c r="N30" s="67">
        <v>106157436</v>
      </c>
      <c r="O30" s="68">
        <f t="shared" si="10"/>
        <v>202690951</v>
      </c>
      <c r="P30" s="68">
        <f t="shared" si="13"/>
        <v>354975.39579684765</v>
      </c>
      <c r="Q30" s="69">
        <f t="shared" si="14"/>
        <v>0.21449244251451466</v>
      </c>
      <c r="R30" s="68">
        <f t="shared" si="11"/>
        <v>225915863</v>
      </c>
      <c r="S30" s="68">
        <f t="shared" si="15"/>
        <v>351346.59875583206</v>
      </c>
      <c r="T30" s="70">
        <f t="shared" si="16"/>
        <v>20.659279907923548</v>
      </c>
      <c r="U30" s="68">
        <f t="shared" si="12"/>
        <v>23224912</v>
      </c>
      <c r="V30" s="63"/>
      <c r="W30" s="63"/>
    </row>
    <row r="31" spans="1:30" s="60" customFormat="1" ht="21" customHeight="1" x14ac:dyDescent="0.2">
      <c r="A31" s="58">
        <v>9</v>
      </c>
      <c r="B31" s="59" t="s">
        <v>16</v>
      </c>
      <c r="C31" s="67"/>
      <c r="D31" s="67"/>
      <c r="E31" s="67"/>
      <c r="F31" s="67"/>
      <c r="G31" s="67"/>
      <c r="H31" s="67"/>
      <c r="I31" s="67">
        <v>2595000</v>
      </c>
      <c r="J31" s="67">
        <v>6174000</v>
      </c>
      <c r="K31" s="67"/>
      <c r="L31" s="67"/>
      <c r="M31" s="67"/>
      <c r="N31" s="67"/>
      <c r="O31" s="68">
        <f t="shared" si="10"/>
        <v>2595000</v>
      </c>
      <c r="P31" s="68">
        <f t="shared" si="13"/>
        <v>4544.6584938704027</v>
      </c>
      <c r="Q31" s="69">
        <f t="shared" si="14"/>
        <v>2.7460914539059293E-3</v>
      </c>
      <c r="R31" s="68">
        <f t="shared" si="11"/>
        <v>6174000</v>
      </c>
      <c r="S31" s="68">
        <f t="shared" si="15"/>
        <v>9601.8662519440131</v>
      </c>
      <c r="T31" s="70">
        <f t="shared" si="16"/>
        <v>0.56459246578678701</v>
      </c>
      <c r="U31" s="68">
        <f t="shared" si="12"/>
        <v>3579000</v>
      </c>
    </row>
    <row r="32" spans="1:30" s="60" customFormat="1" ht="21" customHeight="1" x14ac:dyDescent="0.2">
      <c r="A32" s="58">
        <v>10</v>
      </c>
      <c r="B32" s="59" t="s">
        <v>24</v>
      </c>
      <c r="C32" s="67"/>
      <c r="D32" s="67"/>
      <c r="E32" s="67"/>
      <c r="F32" s="67"/>
      <c r="G32" s="67"/>
      <c r="H32" s="67"/>
      <c r="I32" s="67">
        <v>17359920</v>
      </c>
      <c r="J32" s="67">
        <v>4832100</v>
      </c>
      <c r="K32" s="67"/>
      <c r="L32" s="67">
        <v>900900</v>
      </c>
      <c r="M32" s="67">
        <v>10286640</v>
      </c>
      <c r="N32" s="67">
        <v>1556100</v>
      </c>
      <c r="O32" s="68">
        <f t="shared" si="10"/>
        <v>27646560</v>
      </c>
      <c r="P32" s="68">
        <f t="shared" si="13"/>
        <v>48417.793345008758</v>
      </c>
      <c r="Q32" s="69">
        <f t="shared" si="14"/>
        <v>2.9256255162195575E-2</v>
      </c>
      <c r="R32" s="68">
        <f t="shared" si="11"/>
        <v>7289100</v>
      </c>
      <c r="S32" s="68">
        <f t="shared" si="15"/>
        <v>11336.080870917574</v>
      </c>
      <c r="T32" s="70">
        <f t="shared" si="16"/>
        <v>0.66656477848501283</v>
      </c>
      <c r="U32" s="68">
        <f t="shared" si="12"/>
        <v>-20357460</v>
      </c>
    </row>
    <row r="33" spans="1:21" s="60" customFormat="1" ht="21" customHeight="1" x14ac:dyDescent="0.2">
      <c r="A33" s="58">
        <v>11</v>
      </c>
      <c r="B33" s="59" t="s">
        <v>18</v>
      </c>
      <c r="C33" s="67"/>
      <c r="D33" s="67"/>
      <c r="E33" s="67"/>
      <c r="F33" s="67"/>
      <c r="G33" s="67">
        <v>393390</v>
      </c>
      <c r="H33" s="67">
        <v>497178</v>
      </c>
      <c r="I33" s="67">
        <v>3958023</v>
      </c>
      <c r="J33" s="67">
        <v>5754120</v>
      </c>
      <c r="K33" s="67">
        <v>428514</v>
      </c>
      <c r="L33" s="67">
        <v>1267615</v>
      </c>
      <c r="M33" s="67">
        <v>4523515</v>
      </c>
      <c r="N33" s="67">
        <v>3302651</v>
      </c>
      <c r="O33" s="68">
        <f t="shared" si="10"/>
        <v>9303442</v>
      </c>
      <c r="P33" s="68">
        <f t="shared" si="13"/>
        <v>16293.243432574431</v>
      </c>
      <c r="Q33" s="69">
        <f t="shared" si="14"/>
        <v>9.8451262304853522E-3</v>
      </c>
      <c r="R33" s="68">
        <f t="shared" si="11"/>
        <v>10821564</v>
      </c>
      <c r="S33" s="68">
        <f t="shared" si="15"/>
        <v>16829.804043545879</v>
      </c>
      <c r="T33" s="70">
        <f t="shared" si="16"/>
        <v>0.98959726310811902</v>
      </c>
      <c r="U33" s="68">
        <f t="shared" si="12"/>
        <v>1518122</v>
      </c>
    </row>
    <row r="34" spans="1:21" s="66" customFormat="1" ht="21" customHeight="1" x14ac:dyDescent="0.2">
      <c r="A34" s="156" t="s">
        <v>54</v>
      </c>
      <c r="B34" s="157"/>
      <c r="C34" s="64">
        <f>C10+C22</f>
        <v>518606824</v>
      </c>
      <c r="D34" s="64">
        <f t="shared" ref="D34:U34" si="18">D10+D22</f>
        <v>558614843</v>
      </c>
      <c r="E34" s="64">
        <f t="shared" si="18"/>
        <v>7454000</v>
      </c>
      <c r="F34" s="64">
        <f t="shared" si="18"/>
        <v>8424400</v>
      </c>
      <c r="G34" s="64">
        <f t="shared" si="18"/>
        <v>120916431</v>
      </c>
      <c r="H34" s="64">
        <f t="shared" si="18"/>
        <v>239923531</v>
      </c>
      <c r="I34" s="64">
        <f t="shared" si="18"/>
        <v>323036774</v>
      </c>
      <c r="J34" s="64">
        <f t="shared" si="18"/>
        <v>377764916</v>
      </c>
      <c r="K34" s="64">
        <f t="shared" si="18"/>
        <v>101405653</v>
      </c>
      <c r="L34" s="64">
        <f t="shared" si="18"/>
        <v>216727027</v>
      </c>
      <c r="M34" s="64">
        <f t="shared" si="18"/>
        <v>430652292</v>
      </c>
      <c r="N34" s="64">
        <f t="shared" si="18"/>
        <v>327616587</v>
      </c>
      <c r="O34" s="64">
        <f t="shared" si="18"/>
        <v>1502071974</v>
      </c>
      <c r="P34" s="64"/>
      <c r="Q34" s="65"/>
      <c r="R34" s="64">
        <f t="shared" si="18"/>
        <v>1729071304</v>
      </c>
      <c r="S34" s="64"/>
      <c r="T34" s="64"/>
      <c r="U34" s="64">
        <f t="shared" si="18"/>
        <v>226999330</v>
      </c>
    </row>
    <row r="35" spans="1:21" x14ac:dyDescent="0.25">
      <c r="B35" s="18"/>
      <c r="C35" s="18"/>
      <c r="D35" s="17"/>
    </row>
    <row r="36" spans="1:21" x14ac:dyDescent="0.25">
      <c r="B36" s="17"/>
      <c r="C36" s="18"/>
      <c r="D36" s="22"/>
      <c r="L36" s="11"/>
      <c r="N36" s="11"/>
      <c r="U36" s="12"/>
    </row>
    <row r="37" spans="1:21" x14ac:dyDescent="0.25">
      <c r="B37" s="18"/>
      <c r="C37" s="18"/>
      <c r="D37" s="22"/>
      <c r="R37" s="12"/>
      <c r="T37" s="12"/>
    </row>
    <row r="38" spans="1:21" x14ac:dyDescent="0.25">
      <c r="B38" s="18"/>
      <c r="C38" s="18"/>
      <c r="D38" s="17"/>
    </row>
    <row r="39" spans="1:21" x14ac:dyDescent="0.25">
      <c r="B39" s="18"/>
      <c r="C39" s="18"/>
      <c r="D39" s="18"/>
    </row>
  </sheetData>
  <mergeCells count="18">
    <mergeCell ref="Q7:Q8"/>
    <mergeCell ref="T7:T8"/>
    <mergeCell ref="A34:B34"/>
    <mergeCell ref="P7:P8"/>
    <mergeCell ref="S7:S8"/>
    <mergeCell ref="U7:U8"/>
    <mergeCell ref="A6:A8"/>
    <mergeCell ref="B6:B8"/>
    <mergeCell ref="C6:N6"/>
    <mergeCell ref="O6:U6"/>
    <mergeCell ref="C7:D7"/>
    <mergeCell ref="G7:H7"/>
    <mergeCell ref="I7:J7"/>
    <mergeCell ref="M7:N7"/>
    <mergeCell ref="O7:O8"/>
    <mergeCell ref="R7:R8"/>
    <mergeCell ref="E7:F7"/>
    <mergeCell ref="K7:L7"/>
  </mergeCells>
  <pageMargins left="0.2" right="0.2" top="0.2" bottom="0.75" header="0.2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L12" sqref="L12"/>
    </sheetView>
  </sheetViews>
  <sheetFormatPr defaultColWidth="8.875" defaultRowHeight="15" x14ac:dyDescent="0.25"/>
  <cols>
    <col min="1" max="1" width="3.375" style="1" customWidth="1"/>
    <col min="2" max="2" width="13.375" style="1" customWidth="1"/>
    <col min="3" max="4" width="10.75" style="1" customWidth="1"/>
    <col min="5" max="6" width="10.25" style="1" customWidth="1"/>
    <col min="7" max="7" width="10.375" style="1" customWidth="1"/>
    <col min="8" max="9" width="10.25" style="1" customWidth="1"/>
    <col min="10" max="10" width="10.75" style="1" customWidth="1"/>
    <col min="11" max="11" width="11.125" style="1" customWidth="1"/>
    <col min="12" max="12" width="11.25" style="1" customWidth="1"/>
    <col min="13" max="13" width="11" style="1" customWidth="1"/>
    <col min="14" max="14" width="14.75" style="1" bestFit="1" customWidth="1"/>
    <col min="15" max="15" width="14.75" style="1" customWidth="1"/>
    <col min="16" max="16" width="11.375" style="1" customWidth="1"/>
    <col min="17" max="18" width="8.875" style="1"/>
    <col min="19" max="19" width="9.875" style="1" customWidth="1"/>
    <col min="20" max="21" width="8.875" style="1"/>
    <col min="22" max="22" width="11" style="1" customWidth="1"/>
    <col min="23" max="16384" width="8.875" style="1"/>
  </cols>
  <sheetData>
    <row r="1" spans="1:22" x14ac:dyDescent="0.25">
      <c r="A1" s="1" t="s">
        <v>0</v>
      </c>
    </row>
    <row r="2" spans="1:22" x14ac:dyDescent="0.25">
      <c r="A2" s="2" t="s">
        <v>1</v>
      </c>
    </row>
    <row r="4" spans="1:22" ht="20.25" x14ac:dyDescent="0.3">
      <c r="D4" s="8" t="s">
        <v>40</v>
      </c>
      <c r="K4" s="16"/>
      <c r="L4" s="17"/>
    </row>
    <row r="5" spans="1:22" x14ac:dyDescent="0.25">
      <c r="K5" s="18"/>
      <c r="L5" s="18"/>
    </row>
    <row r="6" spans="1:22" s="3" customFormat="1" ht="23.45" customHeight="1" x14ac:dyDescent="0.25">
      <c r="A6" s="162" t="s">
        <v>3</v>
      </c>
      <c r="B6" s="162" t="s">
        <v>4</v>
      </c>
      <c r="C6" s="171" t="s">
        <v>39</v>
      </c>
      <c r="D6" s="172"/>
      <c r="E6" s="172"/>
      <c r="F6" s="172"/>
      <c r="G6" s="172"/>
      <c r="H6" s="172"/>
      <c r="I6" s="172"/>
      <c r="J6" s="173"/>
      <c r="K6" s="171" t="s">
        <v>29</v>
      </c>
      <c r="L6" s="172"/>
      <c r="M6" s="173"/>
    </row>
    <row r="7" spans="1:22" s="3" customFormat="1" ht="22.15" customHeight="1" x14ac:dyDescent="0.25">
      <c r="A7" s="162"/>
      <c r="B7" s="162"/>
      <c r="C7" s="174" t="s">
        <v>6</v>
      </c>
      <c r="D7" s="174"/>
      <c r="E7" s="175" t="s">
        <v>7</v>
      </c>
      <c r="F7" s="175"/>
      <c r="G7" s="176" t="s">
        <v>8</v>
      </c>
      <c r="H7" s="176"/>
      <c r="I7" s="177" t="s">
        <v>9</v>
      </c>
      <c r="J7" s="178"/>
      <c r="K7" s="160">
        <v>2017</v>
      </c>
      <c r="L7" s="160">
        <v>2018</v>
      </c>
      <c r="M7" s="154" t="s">
        <v>43</v>
      </c>
    </row>
    <row r="8" spans="1:22" s="3" customFormat="1" ht="57.6" customHeight="1" x14ac:dyDescent="0.25">
      <c r="A8" s="162"/>
      <c r="B8" s="162"/>
      <c r="C8" s="23">
        <v>2017</v>
      </c>
      <c r="D8" s="23">
        <v>2018</v>
      </c>
      <c r="E8" s="26">
        <v>2017</v>
      </c>
      <c r="F8" s="26">
        <v>2018</v>
      </c>
      <c r="G8" s="29">
        <v>2017</v>
      </c>
      <c r="H8" s="29">
        <v>2018</v>
      </c>
      <c r="I8" s="52">
        <v>2017</v>
      </c>
      <c r="J8" s="33">
        <v>2018</v>
      </c>
      <c r="K8" s="161"/>
      <c r="L8" s="161"/>
      <c r="M8" s="155"/>
    </row>
    <row r="9" spans="1:22" s="3" customFormat="1" ht="18.600000000000001" customHeight="1" x14ac:dyDescent="0.25">
      <c r="A9" s="13">
        <v>1</v>
      </c>
      <c r="B9" s="13">
        <v>2</v>
      </c>
      <c r="C9" s="24">
        <v>3</v>
      </c>
      <c r="D9" s="24">
        <v>4</v>
      </c>
      <c r="E9" s="27">
        <v>5</v>
      </c>
      <c r="F9" s="27">
        <v>6</v>
      </c>
      <c r="G9" s="30">
        <v>7</v>
      </c>
      <c r="H9" s="30">
        <v>8</v>
      </c>
      <c r="I9" s="34">
        <v>9</v>
      </c>
      <c r="J9" s="34">
        <v>10</v>
      </c>
      <c r="K9" s="13" t="s">
        <v>35</v>
      </c>
      <c r="L9" s="13" t="s">
        <v>41</v>
      </c>
      <c r="M9" s="13" t="s">
        <v>42</v>
      </c>
    </row>
    <row r="10" spans="1:22" ht="21" customHeight="1" x14ac:dyDescent="0.25">
      <c r="A10" s="4">
        <v>1</v>
      </c>
      <c r="B10" s="5" t="s">
        <v>11</v>
      </c>
      <c r="C10" s="25">
        <v>16795</v>
      </c>
      <c r="D10" s="25">
        <v>18875</v>
      </c>
      <c r="E10" s="28">
        <v>361</v>
      </c>
      <c r="F10" s="28">
        <v>343</v>
      </c>
      <c r="G10" s="31">
        <v>2114</v>
      </c>
      <c r="H10" s="31">
        <v>2424</v>
      </c>
      <c r="I10" s="35">
        <v>1393</v>
      </c>
      <c r="J10" s="35">
        <v>1819</v>
      </c>
      <c r="K10" s="20">
        <f>C10+E10+G10+I10</f>
        <v>20663</v>
      </c>
      <c r="L10" s="20">
        <f>D10+F10+H10+J10</f>
        <v>23461</v>
      </c>
      <c r="M10" s="20">
        <f>L10-K10</f>
        <v>2798</v>
      </c>
    </row>
    <row r="11" spans="1:22" ht="21" customHeight="1" x14ac:dyDescent="0.25">
      <c r="A11" s="4">
        <v>2</v>
      </c>
      <c r="B11" s="5" t="s">
        <v>12</v>
      </c>
      <c r="C11" s="25"/>
      <c r="D11" s="25"/>
      <c r="E11" s="28">
        <v>4324</v>
      </c>
      <c r="F11" s="28">
        <v>3412</v>
      </c>
      <c r="G11" s="31">
        <v>10824</v>
      </c>
      <c r="H11" s="31">
        <v>12596</v>
      </c>
      <c r="I11" s="35">
        <v>6623</v>
      </c>
      <c r="J11" s="35">
        <v>8213</v>
      </c>
      <c r="K11" s="20">
        <f t="shared" ref="K11:L20" si="0">C11+E11+G11+I11</f>
        <v>21771</v>
      </c>
      <c r="L11" s="20">
        <f t="shared" si="0"/>
        <v>24221</v>
      </c>
      <c r="M11" s="20">
        <f t="shared" ref="M11:M20" si="1">L11-K11</f>
        <v>2450</v>
      </c>
    </row>
    <row r="12" spans="1:22" ht="21" customHeight="1" x14ac:dyDescent="0.25">
      <c r="A12" s="4">
        <v>3</v>
      </c>
      <c r="B12" s="5" t="s">
        <v>13</v>
      </c>
      <c r="C12" s="25">
        <v>1212819900</v>
      </c>
      <c r="D12" s="25">
        <v>829237800</v>
      </c>
      <c r="E12" s="28">
        <v>49017700</v>
      </c>
      <c r="F12" s="28">
        <v>28590600</v>
      </c>
      <c r="G12" s="31">
        <v>317996400</v>
      </c>
      <c r="H12" s="31">
        <v>284292700</v>
      </c>
      <c r="I12" s="35">
        <v>181924200</v>
      </c>
      <c r="J12" s="35">
        <v>175189700</v>
      </c>
      <c r="K12" s="20">
        <f t="shared" si="0"/>
        <v>1761758200</v>
      </c>
      <c r="L12" s="53">
        <f t="shared" si="0"/>
        <v>1317310800</v>
      </c>
      <c r="M12" s="20">
        <f t="shared" si="1"/>
        <v>-444447400</v>
      </c>
      <c r="N12" s="1">
        <f>K12/K21*100</f>
        <v>14.282827180065095</v>
      </c>
      <c r="O12" s="1">
        <f>L12/L21*100</f>
        <v>11.501231486163906</v>
      </c>
      <c r="P12" s="1">
        <v>218217100</v>
      </c>
      <c r="Q12" s="1">
        <v>2968500</v>
      </c>
      <c r="R12" s="1">
        <v>1365400</v>
      </c>
      <c r="S12" s="1">
        <v>65072800</v>
      </c>
      <c r="T12" s="1">
        <v>1146100</v>
      </c>
      <c r="U12" s="1">
        <v>566800</v>
      </c>
      <c r="V12" s="2">
        <f>SUM(P12:U12)</f>
        <v>289336700</v>
      </c>
    </row>
    <row r="13" spans="1:22" ht="21" customHeight="1" x14ac:dyDescent="0.25">
      <c r="A13" s="4">
        <v>4</v>
      </c>
      <c r="B13" s="5" t="s">
        <v>14</v>
      </c>
      <c r="C13" s="25">
        <v>930978500</v>
      </c>
      <c r="D13" s="25">
        <v>451072700</v>
      </c>
      <c r="E13" s="28">
        <v>36542200</v>
      </c>
      <c r="F13" s="28">
        <v>25559000</v>
      </c>
      <c r="G13" s="31">
        <v>183325500</v>
      </c>
      <c r="H13" s="31">
        <v>87199800</v>
      </c>
      <c r="I13" s="35">
        <v>109550400</v>
      </c>
      <c r="J13" s="35">
        <v>63808500</v>
      </c>
      <c r="K13" s="20">
        <f t="shared" si="0"/>
        <v>1260396600</v>
      </c>
      <c r="L13" s="53">
        <f t="shared" si="0"/>
        <v>627640000</v>
      </c>
      <c r="M13" s="20">
        <f t="shared" si="1"/>
        <v>-632756600</v>
      </c>
      <c r="P13" s="1">
        <v>270077800</v>
      </c>
      <c r="Q13" s="1">
        <v>4139400</v>
      </c>
      <c r="R13" s="1">
        <v>2227600</v>
      </c>
      <c r="S13" s="1">
        <v>59759100</v>
      </c>
      <c r="T13" s="1">
        <v>1077300</v>
      </c>
      <c r="U13" s="1">
        <v>479000</v>
      </c>
      <c r="V13" s="2">
        <f t="shared" ref="V13:V16" si="2">SUM(P13:U13)</f>
        <v>337760200</v>
      </c>
    </row>
    <row r="14" spans="1:22" ht="21" customHeight="1" x14ac:dyDescent="0.25">
      <c r="A14" s="4">
        <v>5</v>
      </c>
      <c r="B14" s="5" t="s">
        <v>17</v>
      </c>
      <c r="C14" s="25">
        <v>24142600</v>
      </c>
      <c r="D14" s="25">
        <v>43584100</v>
      </c>
      <c r="E14" s="28">
        <v>749731700</v>
      </c>
      <c r="F14" s="28">
        <v>489412900</v>
      </c>
      <c r="G14" s="31">
        <v>12519700</v>
      </c>
      <c r="H14" s="31">
        <v>34939300</v>
      </c>
      <c r="I14" s="35">
        <v>734643900</v>
      </c>
      <c r="J14" s="35">
        <v>930107600</v>
      </c>
      <c r="K14" s="20">
        <f t="shared" si="0"/>
        <v>1521037900</v>
      </c>
      <c r="L14" s="53">
        <f t="shared" si="0"/>
        <v>1498043900</v>
      </c>
      <c r="M14" s="20">
        <f t="shared" si="1"/>
        <v>-22994000</v>
      </c>
      <c r="P14" s="1">
        <v>255035900</v>
      </c>
      <c r="Q14" s="1">
        <v>7899100</v>
      </c>
      <c r="R14" s="1">
        <v>5514800</v>
      </c>
      <c r="S14" s="1">
        <v>100997500</v>
      </c>
      <c r="T14" s="1">
        <v>3142600</v>
      </c>
      <c r="U14" s="1">
        <v>2477900</v>
      </c>
      <c r="V14" s="2">
        <f t="shared" si="2"/>
        <v>375067800</v>
      </c>
    </row>
    <row r="15" spans="1:22" ht="21" customHeight="1" x14ac:dyDescent="0.25">
      <c r="A15" s="4">
        <v>6</v>
      </c>
      <c r="B15" s="5" t="s">
        <v>19</v>
      </c>
      <c r="C15" s="25">
        <v>520654300</v>
      </c>
      <c r="D15" s="25">
        <v>566963940</v>
      </c>
      <c r="E15" s="28"/>
      <c r="F15" s="28"/>
      <c r="G15" s="31"/>
      <c r="H15" s="31"/>
      <c r="I15" s="35"/>
      <c r="J15" s="35"/>
      <c r="K15" s="20">
        <f t="shared" si="0"/>
        <v>520654300</v>
      </c>
      <c r="L15" s="53">
        <f t="shared" si="0"/>
        <v>566963940</v>
      </c>
      <c r="M15" s="20">
        <f t="shared" si="1"/>
        <v>46309640</v>
      </c>
      <c r="P15" s="1">
        <v>400014300</v>
      </c>
      <c r="Q15" s="1">
        <v>4725000</v>
      </c>
      <c r="R15" s="1">
        <v>2058000</v>
      </c>
      <c r="S15" s="1">
        <v>135454200</v>
      </c>
      <c r="T15" s="1">
        <v>1932000</v>
      </c>
      <c r="U15" s="1">
        <v>945000</v>
      </c>
      <c r="V15" s="2">
        <f t="shared" si="2"/>
        <v>545128500</v>
      </c>
    </row>
    <row r="16" spans="1:22" ht="21" customHeight="1" x14ac:dyDescent="0.25">
      <c r="A16" s="4">
        <v>7</v>
      </c>
      <c r="B16" s="5" t="s">
        <v>20</v>
      </c>
      <c r="C16" s="25"/>
      <c r="D16" s="25"/>
      <c r="E16" s="28">
        <v>317178700</v>
      </c>
      <c r="F16" s="28">
        <v>196006000</v>
      </c>
      <c r="G16" s="31">
        <v>1533377800</v>
      </c>
      <c r="H16" s="31">
        <v>1703458900</v>
      </c>
      <c r="I16" s="35">
        <v>888621700</v>
      </c>
      <c r="J16" s="35">
        <v>1113365660</v>
      </c>
      <c r="K16" s="20">
        <f t="shared" si="0"/>
        <v>2739178200</v>
      </c>
      <c r="L16" s="53">
        <f t="shared" si="0"/>
        <v>3012830560</v>
      </c>
      <c r="M16" s="20">
        <f t="shared" si="1"/>
        <v>273652360</v>
      </c>
      <c r="N16" s="19"/>
      <c r="P16" s="1">
        <v>2075395500</v>
      </c>
      <c r="Q16" s="1">
        <v>40663200</v>
      </c>
      <c r="R16" s="1">
        <v>15794800</v>
      </c>
      <c r="S16" s="1">
        <v>757835700</v>
      </c>
      <c r="T16" s="1">
        <v>18689100</v>
      </c>
      <c r="U16" s="1">
        <v>8171800</v>
      </c>
      <c r="V16" s="2">
        <f t="shared" si="2"/>
        <v>2916550100</v>
      </c>
    </row>
    <row r="17" spans="1:15" ht="21" customHeight="1" x14ac:dyDescent="0.25">
      <c r="A17" s="4">
        <v>8</v>
      </c>
      <c r="B17" s="5" t="s">
        <v>15</v>
      </c>
      <c r="C17" s="25">
        <v>2208817878</v>
      </c>
      <c r="D17" s="25">
        <v>1792137146</v>
      </c>
      <c r="E17" s="28">
        <v>324492955</v>
      </c>
      <c r="F17" s="28">
        <v>152030673</v>
      </c>
      <c r="G17" s="31">
        <v>988906180</v>
      </c>
      <c r="H17" s="31">
        <v>1241501280</v>
      </c>
      <c r="I17" s="35">
        <v>839926481</v>
      </c>
      <c r="J17" s="35">
        <v>976621609</v>
      </c>
      <c r="K17" s="20">
        <f t="shared" si="0"/>
        <v>4362143494</v>
      </c>
      <c r="L17" s="20">
        <f t="shared" si="0"/>
        <v>4162290708</v>
      </c>
      <c r="M17" s="20">
        <f t="shared" si="1"/>
        <v>-199852786</v>
      </c>
      <c r="N17" s="15"/>
      <c r="O17" s="15"/>
    </row>
    <row r="18" spans="1:15" ht="21" customHeight="1" x14ac:dyDescent="0.25">
      <c r="A18" s="4">
        <v>9</v>
      </c>
      <c r="B18" s="5" t="s">
        <v>16</v>
      </c>
      <c r="C18" s="25"/>
      <c r="D18" s="25"/>
      <c r="E18" s="28"/>
      <c r="F18" s="28"/>
      <c r="G18" s="31">
        <v>27769000</v>
      </c>
      <c r="H18" s="31">
        <v>54225000</v>
      </c>
      <c r="I18" s="35">
        <v>7812000</v>
      </c>
      <c r="J18" s="35">
        <v>1730000</v>
      </c>
      <c r="K18" s="20">
        <f t="shared" si="0"/>
        <v>35581000</v>
      </c>
      <c r="L18" s="20">
        <f t="shared" si="0"/>
        <v>55955000</v>
      </c>
      <c r="M18" s="20">
        <f t="shared" si="1"/>
        <v>20374000</v>
      </c>
    </row>
    <row r="19" spans="1:15" ht="21" customHeight="1" x14ac:dyDescent="0.25">
      <c r="A19" s="4">
        <v>10</v>
      </c>
      <c r="B19" s="5" t="s">
        <v>24</v>
      </c>
      <c r="C19" s="25"/>
      <c r="D19" s="25"/>
      <c r="E19" s="28"/>
      <c r="F19" s="28">
        <v>1800000</v>
      </c>
      <c r="G19" s="31">
        <v>53203500</v>
      </c>
      <c r="H19" s="31">
        <v>109790460</v>
      </c>
      <c r="I19" s="35">
        <v>39039060</v>
      </c>
      <c r="J19" s="35">
        <v>73651440</v>
      </c>
      <c r="K19" s="20">
        <f t="shared" si="0"/>
        <v>92242560</v>
      </c>
      <c r="L19" s="20">
        <f t="shared" si="0"/>
        <v>185241900</v>
      </c>
      <c r="M19" s="20">
        <f t="shared" si="1"/>
        <v>92999340</v>
      </c>
    </row>
    <row r="20" spans="1:15" ht="21" customHeight="1" x14ac:dyDescent="0.25">
      <c r="A20" s="4">
        <v>11</v>
      </c>
      <c r="B20" s="5" t="s">
        <v>18</v>
      </c>
      <c r="C20" s="25"/>
      <c r="D20" s="25"/>
      <c r="E20" s="28">
        <v>370077</v>
      </c>
      <c r="F20" s="28">
        <v>815730</v>
      </c>
      <c r="G20" s="31">
        <v>31794156</v>
      </c>
      <c r="H20" s="31">
        <v>16481779</v>
      </c>
      <c r="I20" s="35">
        <v>9643744</v>
      </c>
      <c r="J20" s="35">
        <v>10075682</v>
      </c>
      <c r="K20" s="20">
        <f t="shared" si="0"/>
        <v>41807977</v>
      </c>
      <c r="L20" s="20">
        <f t="shared" si="0"/>
        <v>27373191</v>
      </c>
      <c r="M20" s="20">
        <f t="shared" si="1"/>
        <v>-14434786</v>
      </c>
    </row>
    <row r="21" spans="1:15" ht="21" customHeight="1" x14ac:dyDescent="0.25">
      <c r="A21" s="5"/>
      <c r="B21" s="7" t="s">
        <v>23</v>
      </c>
      <c r="C21" s="25">
        <f>SUM(C12:C20)</f>
        <v>4897413178</v>
      </c>
      <c r="D21" s="25">
        <f t="shared" ref="D21:M21" si="3">SUM(D12:D20)</f>
        <v>3682995686</v>
      </c>
      <c r="E21" s="28">
        <f t="shared" si="3"/>
        <v>1477333332</v>
      </c>
      <c r="F21" s="28">
        <f t="shared" si="3"/>
        <v>894214903</v>
      </c>
      <c r="G21" s="31">
        <f t="shared" si="3"/>
        <v>3148892236</v>
      </c>
      <c r="H21" s="31">
        <f t="shared" si="3"/>
        <v>3531889219</v>
      </c>
      <c r="I21" s="35">
        <f t="shared" si="3"/>
        <v>2811161485</v>
      </c>
      <c r="J21" s="35">
        <f t="shared" si="3"/>
        <v>3344550191</v>
      </c>
      <c r="K21" s="20">
        <f t="shared" si="3"/>
        <v>12334800231</v>
      </c>
      <c r="L21" s="20">
        <f t="shared" si="3"/>
        <v>11453649999</v>
      </c>
      <c r="M21" s="20">
        <f t="shared" si="3"/>
        <v>-881150232</v>
      </c>
    </row>
    <row r="22" spans="1:15" x14ac:dyDescent="0.25">
      <c r="B22" s="18"/>
      <c r="C22" s="18"/>
      <c r="D22" s="17"/>
    </row>
    <row r="23" spans="1:15" x14ac:dyDescent="0.25">
      <c r="B23" s="17"/>
      <c r="C23" s="18"/>
      <c r="D23" s="22"/>
      <c r="J23" s="11"/>
      <c r="M23" s="12"/>
    </row>
    <row r="24" spans="1:15" x14ac:dyDescent="0.25">
      <c r="B24" s="18"/>
      <c r="C24" s="18"/>
      <c r="D24" s="22"/>
      <c r="L24" s="12"/>
    </row>
    <row r="25" spans="1:15" x14ac:dyDescent="0.25">
      <c r="B25" s="18"/>
      <c r="C25" s="18"/>
      <c r="D25" s="17"/>
    </row>
    <row r="26" spans="1:15" x14ac:dyDescent="0.25">
      <c r="B26" s="18"/>
      <c r="C26" s="18"/>
      <c r="D26" s="18"/>
    </row>
  </sheetData>
  <mergeCells count="11">
    <mergeCell ref="M7:M8"/>
    <mergeCell ref="K6:M6"/>
    <mergeCell ref="L7:L8"/>
    <mergeCell ref="A6:A8"/>
    <mergeCell ref="B6:B8"/>
    <mergeCell ref="C6:J6"/>
    <mergeCell ref="C7:D7"/>
    <mergeCell ref="E7:F7"/>
    <mergeCell ref="G7:H7"/>
    <mergeCell ref="I7:J7"/>
    <mergeCell ref="K7:K8"/>
  </mergeCells>
  <pageMargins left="0.2" right="0.2" top="0.2" bottom="0.75" header="0.2" footer="0.3"/>
  <pageSetup paperSize="9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A2" workbookViewId="0">
      <selection activeCell="C14" sqref="C14"/>
    </sheetView>
  </sheetViews>
  <sheetFormatPr defaultColWidth="8.875" defaultRowHeight="15" x14ac:dyDescent="0.25"/>
  <cols>
    <col min="1" max="1" width="3.375" style="1" customWidth="1"/>
    <col min="2" max="2" width="13.375" style="1" customWidth="1"/>
    <col min="3" max="3" width="13.25" style="1" customWidth="1"/>
    <col min="4" max="4" width="11.25" style="1" customWidth="1"/>
    <col min="5" max="5" width="11.75" style="1" customWidth="1"/>
    <col min="6" max="6" width="11.625" style="1" customWidth="1"/>
    <col min="7" max="7" width="11.25" style="1" customWidth="1"/>
    <col min="8" max="8" width="11.625" style="1" customWidth="1"/>
    <col min="9" max="9" width="12.125" style="1" customWidth="1"/>
    <col min="10" max="10" width="11.75" style="1" customWidth="1"/>
    <col min="11" max="11" width="12.25" style="1" customWidth="1"/>
    <col min="12" max="12" width="12.125" style="1" customWidth="1"/>
    <col min="13" max="13" width="12.75" style="1" customWidth="1"/>
    <col min="14" max="15" width="14.75" style="1" customWidth="1"/>
    <col min="16" max="16" width="11.375" style="1" customWidth="1"/>
    <col min="17" max="18" width="8.875" style="1"/>
    <col min="19" max="19" width="9.875" style="1" customWidth="1"/>
    <col min="20" max="21" width="8.875" style="1"/>
    <col min="22" max="22" width="11" style="1" customWidth="1"/>
    <col min="23" max="16384" width="8.875" style="1"/>
  </cols>
  <sheetData>
    <row r="1" spans="1:22" x14ac:dyDescent="0.25">
      <c r="A1" s="1" t="s">
        <v>0</v>
      </c>
    </row>
    <row r="2" spans="1:22" x14ac:dyDescent="0.25">
      <c r="A2" s="2" t="s">
        <v>1</v>
      </c>
    </row>
    <row r="4" spans="1:22" ht="20.25" x14ac:dyDescent="0.3">
      <c r="D4" s="8" t="s">
        <v>34</v>
      </c>
      <c r="K4" s="16"/>
      <c r="L4" s="17"/>
    </row>
    <row r="5" spans="1:22" x14ac:dyDescent="0.25">
      <c r="K5" s="18"/>
      <c r="L5" s="18"/>
    </row>
    <row r="6" spans="1:22" s="3" customFormat="1" ht="23.45" customHeight="1" x14ac:dyDescent="0.25">
      <c r="A6" s="162" t="s">
        <v>3</v>
      </c>
      <c r="B6" s="162" t="s">
        <v>4</v>
      </c>
      <c r="C6" s="171" t="s">
        <v>39</v>
      </c>
      <c r="D6" s="172"/>
      <c r="E6" s="172"/>
      <c r="F6" s="172"/>
      <c r="G6" s="172"/>
      <c r="H6" s="172"/>
      <c r="I6" s="172"/>
      <c r="J6" s="173"/>
      <c r="K6" s="171" t="s">
        <v>29</v>
      </c>
      <c r="L6" s="172"/>
      <c r="M6" s="173"/>
    </row>
    <row r="7" spans="1:22" s="3" customFormat="1" ht="22.15" customHeight="1" x14ac:dyDescent="0.25">
      <c r="A7" s="162"/>
      <c r="B7" s="162"/>
      <c r="C7" s="174" t="s">
        <v>6</v>
      </c>
      <c r="D7" s="174"/>
      <c r="E7" s="175" t="s">
        <v>7</v>
      </c>
      <c r="F7" s="175"/>
      <c r="G7" s="176" t="s">
        <v>8</v>
      </c>
      <c r="H7" s="176"/>
      <c r="I7" s="177" t="s">
        <v>9</v>
      </c>
      <c r="J7" s="178"/>
      <c r="K7" s="160">
        <v>2016</v>
      </c>
      <c r="L7" s="160">
        <v>2017</v>
      </c>
      <c r="M7" s="154" t="s">
        <v>38</v>
      </c>
    </row>
    <row r="8" spans="1:22" s="3" customFormat="1" ht="57.6" customHeight="1" x14ac:dyDescent="0.25">
      <c r="A8" s="162"/>
      <c r="B8" s="162"/>
      <c r="C8" s="23">
        <v>2016</v>
      </c>
      <c r="D8" s="23">
        <v>2017</v>
      </c>
      <c r="E8" s="26">
        <v>2016</v>
      </c>
      <c r="F8" s="26">
        <v>2017</v>
      </c>
      <c r="G8" s="29">
        <v>2016</v>
      </c>
      <c r="H8" s="29">
        <v>2017</v>
      </c>
      <c r="I8" s="32">
        <v>2016</v>
      </c>
      <c r="J8" s="33">
        <v>2017</v>
      </c>
      <c r="K8" s="161"/>
      <c r="L8" s="161"/>
      <c r="M8" s="155"/>
    </row>
    <row r="9" spans="1:22" s="3" customFormat="1" ht="18.600000000000001" customHeight="1" x14ac:dyDescent="0.25">
      <c r="A9" s="13">
        <v>1</v>
      </c>
      <c r="B9" s="13">
        <v>2</v>
      </c>
      <c r="C9" s="24">
        <v>3</v>
      </c>
      <c r="D9" s="24">
        <v>4</v>
      </c>
      <c r="E9" s="27">
        <v>5</v>
      </c>
      <c r="F9" s="27">
        <v>6</v>
      </c>
      <c r="G9" s="30">
        <v>7</v>
      </c>
      <c r="H9" s="30">
        <v>8</v>
      </c>
      <c r="I9" s="34">
        <v>9</v>
      </c>
      <c r="J9" s="34">
        <v>10</v>
      </c>
      <c r="K9" s="13">
        <v>11</v>
      </c>
      <c r="L9" s="13">
        <v>12</v>
      </c>
      <c r="M9" s="13">
        <v>13</v>
      </c>
    </row>
    <row r="10" spans="1:22" ht="30.6" customHeight="1" x14ac:dyDescent="0.25">
      <c r="A10" s="4">
        <v>1</v>
      </c>
      <c r="B10" s="5" t="s">
        <v>11</v>
      </c>
      <c r="C10" s="36">
        <v>22244</v>
      </c>
      <c r="D10" s="36">
        <v>25610</v>
      </c>
      <c r="E10" s="37">
        <v>614</v>
      </c>
      <c r="F10" s="37">
        <v>561</v>
      </c>
      <c r="G10" s="38">
        <v>2772</v>
      </c>
      <c r="H10" s="38">
        <v>3283</v>
      </c>
      <c r="I10" s="39">
        <v>2294</v>
      </c>
      <c r="J10" s="39">
        <v>2576</v>
      </c>
      <c r="K10" s="11">
        <f>C10+E10+G10+I10</f>
        <v>27924</v>
      </c>
      <c r="L10" s="11">
        <f>D10+F10+H10+J10</f>
        <v>32030</v>
      </c>
      <c r="M10" s="11">
        <f>L10-K10</f>
        <v>4106</v>
      </c>
    </row>
    <row r="11" spans="1:22" ht="30.6" customHeight="1" x14ac:dyDescent="0.25">
      <c r="A11" s="4">
        <v>2</v>
      </c>
      <c r="B11" s="5" t="s">
        <v>12</v>
      </c>
      <c r="C11" s="36"/>
      <c r="D11" s="36"/>
      <c r="E11" s="37">
        <v>7690</v>
      </c>
      <c r="F11" s="37">
        <v>6419</v>
      </c>
      <c r="G11" s="38">
        <v>16979</v>
      </c>
      <c r="H11" s="38">
        <v>17464</v>
      </c>
      <c r="I11" s="39">
        <v>11945</v>
      </c>
      <c r="J11" s="39">
        <v>11310</v>
      </c>
      <c r="K11" s="11">
        <f t="shared" ref="K11:K20" si="0">C11+E11+G11+I11</f>
        <v>36614</v>
      </c>
      <c r="L11" s="11">
        <f t="shared" ref="L11:L20" si="1">D11+F11+H11+J11</f>
        <v>35193</v>
      </c>
      <c r="M11" s="11">
        <f t="shared" ref="M11:M20" si="2">L11-K11</f>
        <v>-1421</v>
      </c>
    </row>
    <row r="12" spans="1:22" ht="30.6" customHeight="1" x14ac:dyDescent="0.25">
      <c r="A12" s="4">
        <v>3</v>
      </c>
      <c r="B12" s="5" t="s">
        <v>13</v>
      </c>
      <c r="C12" s="42">
        <v>2170940000</v>
      </c>
      <c r="D12" s="43">
        <f>D23-(D23*L23)</f>
        <v>1502594377.8914514</v>
      </c>
      <c r="E12" s="44">
        <v>128072500</v>
      </c>
      <c r="F12" s="45">
        <f>F23-(F23*L23)</f>
        <v>60125291.592751674</v>
      </c>
      <c r="G12" s="46">
        <v>542842000</v>
      </c>
      <c r="H12" s="47">
        <f>H23-(H23*L23)</f>
        <v>407298925.92212605</v>
      </c>
      <c r="I12" s="48">
        <v>408099500</v>
      </c>
      <c r="J12" s="49">
        <f>J23-(J23*L23)</f>
        <v>263328604.59367105</v>
      </c>
      <c r="K12" s="50">
        <f t="shared" si="0"/>
        <v>3249954000</v>
      </c>
      <c r="L12" s="51">
        <f t="shared" si="1"/>
        <v>2233347200</v>
      </c>
      <c r="M12" s="50">
        <f t="shared" si="2"/>
        <v>-1016606800</v>
      </c>
      <c r="P12" s="1">
        <v>218217100</v>
      </c>
      <c r="Q12" s="1">
        <v>2968500</v>
      </c>
      <c r="R12" s="1">
        <v>1365400</v>
      </c>
      <c r="S12" s="1">
        <v>65072800</v>
      </c>
      <c r="T12" s="1">
        <v>1146100</v>
      </c>
      <c r="U12" s="1">
        <v>566800</v>
      </c>
      <c r="V12" s="2">
        <f>SUM(P12:U12)</f>
        <v>289336700</v>
      </c>
    </row>
    <row r="13" spans="1:22" ht="30.6" customHeight="1" x14ac:dyDescent="0.25">
      <c r="A13" s="4">
        <v>4</v>
      </c>
      <c r="B13" s="5" t="s">
        <v>14</v>
      </c>
      <c r="C13" s="42">
        <v>788124000</v>
      </c>
      <c r="D13" s="43">
        <f>D24-(D24*L24)</f>
        <v>895572626.247913</v>
      </c>
      <c r="E13" s="44">
        <v>40166000</v>
      </c>
      <c r="F13" s="45">
        <f>F24-(F24*L24)</f>
        <v>41689170.424466923</v>
      </c>
      <c r="G13" s="46">
        <v>146520000</v>
      </c>
      <c r="H13" s="47">
        <f>H24-(H24*L24)</f>
        <v>179179372.22377959</v>
      </c>
      <c r="I13" s="48">
        <v>118403000</v>
      </c>
      <c r="J13" s="49">
        <f>J24-(J24*L24)</f>
        <v>122889731.10384049</v>
      </c>
      <c r="K13" s="50">
        <f t="shared" si="0"/>
        <v>1093213000</v>
      </c>
      <c r="L13" s="51">
        <f t="shared" si="1"/>
        <v>1239330900.0000002</v>
      </c>
      <c r="M13" s="50">
        <f t="shared" si="2"/>
        <v>146117900.00000024</v>
      </c>
      <c r="P13" s="1">
        <v>270077800</v>
      </c>
      <c r="Q13" s="1">
        <v>4139400</v>
      </c>
      <c r="R13" s="1">
        <v>2227600</v>
      </c>
      <c r="S13" s="1">
        <v>59759100</v>
      </c>
      <c r="T13" s="1">
        <v>1077300</v>
      </c>
      <c r="U13" s="1">
        <v>479000</v>
      </c>
      <c r="V13" s="2">
        <f t="shared" ref="V13:V16" si="3">SUM(P13:U13)</f>
        <v>337760200</v>
      </c>
    </row>
    <row r="14" spans="1:22" ht="30.6" customHeight="1" x14ac:dyDescent="0.25">
      <c r="A14" s="4">
        <v>5</v>
      </c>
      <c r="B14" s="5" t="s">
        <v>17</v>
      </c>
      <c r="C14" s="42">
        <v>498661500</v>
      </c>
      <c r="D14" s="43">
        <f>D25-(D25*L25)</f>
        <v>39768042.666112334</v>
      </c>
      <c r="E14" s="44">
        <v>1262104100</v>
      </c>
      <c r="F14" s="45">
        <f>F25-(F25*L25)</f>
        <v>887111700.47102964</v>
      </c>
      <c r="G14" s="46">
        <v>138749600</v>
      </c>
      <c r="H14" s="47">
        <f>H25-(H25*L25)</f>
        <v>27585010.782750763</v>
      </c>
      <c r="I14" s="48">
        <f>1098519100+2574000</f>
        <v>1101093100</v>
      </c>
      <c r="J14" s="49">
        <f>J25-(J25*L25)</f>
        <v>1038959546.0801072</v>
      </c>
      <c r="K14" s="50">
        <f t="shared" si="0"/>
        <v>3000608300</v>
      </c>
      <c r="L14" s="51">
        <f t="shared" si="1"/>
        <v>1993424300</v>
      </c>
      <c r="M14" s="50">
        <f t="shared" si="2"/>
        <v>-1007184000</v>
      </c>
      <c r="P14" s="1">
        <v>255035900</v>
      </c>
      <c r="Q14" s="1">
        <v>7899100</v>
      </c>
      <c r="R14" s="1">
        <v>5514800</v>
      </c>
      <c r="S14" s="1">
        <v>100997500</v>
      </c>
      <c r="T14" s="1">
        <v>3142600</v>
      </c>
      <c r="U14" s="1">
        <v>2477900</v>
      </c>
      <c r="V14" s="2">
        <f t="shared" si="3"/>
        <v>375067800</v>
      </c>
    </row>
    <row r="15" spans="1:22" ht="30.6" customHeight="1" x14ac:dyDescent="0.25">
      <c r="A15" s="4">
        <v>6</v>
      </c>
      <c r="B15" s="5" t="s">
        <v>19</v>
      </c>
      <c r="C15" s="42">
        <v>218888000</v>
      </c>
      <c r="D15" s="43">
        <f>D26-(D26*L26)</f>
        <v>249541000</v>
      </c>
      <c r="E15" s="44"/>
      <c r="F15" s="45">
        <f>F26-(F26*L26)</f>
        <v>0</v>
      </c>
      <c r="G15" s="46"/>
      <c r="H15" s="47">
        <f>H26-(H26*L26)</f>
        <v>0</v>
      </c>
      <c r="I15" s="48"/>
      <c r="J15" s="49">
        <f>J26-(J26*L26)</f>
        <v>0</v>
      </c>
      <c r="K15" s="50">
        <f t="shared" si="0"/>
        <v>218888000</v>
      </c>
      <c r="L15" s="51">
        <f t="shared" si="1"/>
        <v>249541000</v>
      </c>
      <c r="M15" s="50">
        <f t="shared" si="2"/>
        <v>30653000</v>
      </c>
      <c r="P15" s="1">
        <v>400014300</v>
      </c>
      <c r="Q15" s="1">
        <v>4725000</v>
      </c>
      <c r="R15" s="1">
        <v>2058000</v>
      </c>
      <c r="S15" s="1">
        <v>135454200</v>
      </c>
      <c r="T15" s="1">
        <v>1932000</v>
      </c>
      <c r="U15" s="1">
        <v>945000</v>
      </c>
      <c r="V15" s="2">
        <f t="shared" si="3"/>
        <v>545128500</v>
      </c>
    </row>
    <row r="16" spans="1:22" ht="30.6" customHeight="1" x14ac:dyDescent="0.25">
      <c r="A16" s="4">
        <v>7</v>
      </c>
      <c r="B16" s="5" t="s">
        <v>20</v>
      </c>
      <c r="C16" s="42"/>
      <c r="D16" s="43">
        <f>D27-(D27*L27)</f>
        <v>0</v>
      </c>
      <c r="E16" s="44">
        <v>253403500</v>
      </c>
      <c r="F16" s="45">
        <f>F27-(F27*L27)</f>
        <v>163785129.33070755</v>
      </c>
      <c r="G16" s="46">
        <v>848556500</v>
      </c>
      <c r="H16" s="47">
        <f>H27-(H27*L27)</f>
        <v>879848937.59927797</v>
      </c>
      <c r="I16" s="48">
        <v>566057000</v>
      </c>
      <c r="J16" s="49">
        <f>J27-(J27*L27)</f>
        <v>540933633.07001424</v>
      </c>
      <c r="K16" s="50">
        <f t="shared" si="0"/>
        <v>1668017000</v>
      </c>
      <c r="L16" s="51">
        <f t="shared" si="1"/>
        <v>1584567699.9999998</v>
      </c>
      <c r="M16" s="50">
        <f t="shared" si="2"/>
        <v>-83449300.000000238</v>
      </c>
      <c r="N16" s="40" t="s">
        <v>33</v>
      </c>
      <c r="P16" s="1">
        <v>2075395500</v>
      </c>
      <c r="Q16" s="1">
        <v>40663200</v>
      </c>
      <c r="R16" s="1">
        <v>15794800</v>
      </c>
      <c r="S16" s="1">
        <v>757835700</v>
      </c>
      <c r="T16" s="1">
        <v>18689100</v>
      </c>
      <c r="U16" s="1">
        <v>8171800</v>
      </c>
      <c r="V16" s="2">
        <f t="shared" si="3"/>
        <v>2916550100</v>
      </c>
    </row>
    <row r="17" spans="1:15" ht="30.6" customHeight="1" x14ac:dyDescent="0.25">
      <c r="A17" s="4">
        <v>8</v>
      </c>
      <c r="B17" s="5" t="s">
        <v>15</v>
      </c>
      <c r="C17" s="42">
        <v>4073241881</v>
      </c>
      <c r="D17" s="42">
        <v>3087190680</v>
      </c>
      <c r="E17" s="44">
        <v>532406021</v>
      </c>
      <c r="F17" s="44">
        <v>423634223</v>
      </c>
      <c r="G17" s="46">
        <v>1393106445</v>
      </c>
      <c r="H17" s="46">
        <v>1510264445</v>
      </c>
      <c r="I17" s="48">
        <v>1129138430</v>
      </c>
      <c r="J17" s="48">
        <v>1253782424</v>
      </c>
      <c r="K17" s="50">
        <f t="shared" si="0"/>
        <v>7127892777</v>
      </c>
      <c r="L17" s="50">
        <f t="shared" si="1"/>
        <v>6274871772</v>
      </c>
      <c r="M17" s="50">
        <f t="shared" si="2"/>
        <v>-853021005</v>
      </c>
      <c r="N17" s="41">
        <f>SUM(M12:M16)</f>
        <v>-1930469200</v>
      </c>
      <c r="O17" s="15"/>
    </row>
    <row r="18" spans="1:15" ht="30.6" customHeight="1" x14ac:dyDescent="0.25">
      <c r="A18" s="4">
        <v>9</v>
      </c>
      <c r="B18" s="5" t="s">
        <v>16</v>
      </c>
      <c r="C18" s="42"/>
      <c r="D18" s="42"/>
      <c r="E18" s="44"/>
      <c r="F18" s="44"/>
      <c r="G18" s="46">
        <v>18090000</v>
      </c>
      <c r="H18" s="46">
        <v>42940000</v>
      </c>
      <c r="I18" s="48"/>
      <c r="J18" s="48">
        <v>11860000</v>
      </c>
      <c r="K18" s="50">
        <f t="shared" si="0"/>
        <v>18090000</v>
      </c>
      <c r="L18" s="50">
        <f t="shared" si="1"/>
        <v>54800000</v>
      </c>
      <c r="M18" s="50">
        <f t="shared" si="2"/>
        <v>36710000</v>
      </c>
    </row>
    <row r="19" spans="1:15" ht="30.6" customHeight="1" x14ac:dyDescent="0.25">
      <c r="A19" s="4">
        <v>10</v>
      </c>
      <c r="B19" s="5" t="s">
        <v>24</v>
      </c>
      <c r="C19" s="42"/>
      <c r="D19" s="42"/>
      <c r="E19" s="44">
        <v>2701320</v>
      </c>
      <c r="F19" s="44">
        <v>1059000</v>
      </c>
      <c r="G19" s="46">
        <v>57185400</v>
      </c>
      <c r="H19" s="46">
        <v>42016276</v>
      </c>
      <c r="I19" s="48">
        <v>56829710</v>
      </c>
      <c r="J19" s="48">
        <v>66996660</v>
      </c>
      <c r="K19" s="50">
        <f t="shared" si="0"/>
        <v>116716430</v>
      </c>
      <c r="L19" s="50">
        <f t="shared" si="1"/>
        <v>110071936</v>
      </c>
      <c r="M19" s="50">
        <f t="shared" si="2"/>
        <v>-6644494</v>
      </c>
    </row>
    <row r="20" spans="1:15" ht="30.6" customHeight="1" x14ac:dyDescent="0.25">
      <c r="A20" s="4">
        <v>11</v>
      </c>
      <c r="B20" s="5" t="s">
        <v>18</v>
      </c>
      <c r="C20" s="42"/>
      <c r="D20" s="42"/>
      <c r="E20" s="44">
        <v>883070</v>
      </c>
      <c r="F20" s="44">
        <v>455176</v>
      </c>
      <c r="G20" s="46">
        <v>52124439</v>
      </c>
      <c r="H20" s="46">
        <v>80869875</v>
      </c>
      <c r="I20" s="48">
        <v>17554135</v>
      </c>
      <c r="J20" s="48">
        <v>16109976</v>
      </c>
      <c r="K20" s="50">
        <f t="shared" si="0"/>
        <v>70561644</v>
      </c>
      <c r="L20" s="50">
        <f t="shared" si="1"/>
        <v>97435027</v>
      </c>
      <c r="M20" s="50">
        <f t="shared" si="2"/>
        <v>26873383</v>
      </c>
    </row>
    <row r="21" spans="1:15" ht="30.6" customHeight="1" x14ac:dyDescent="0.25">
      <c r="A21" s="5"/>
      <c r="B21" s="7" t="s">
        <v>23</v>
      </c>
      <c r="C21" s="42">
        <f>SUM(C12:C20)</f>
        <v>7749855381</v>
      </c>
      <c r="D21" s="42">
        <f t="shared" ref="D21:M21" si="4">SUM(D12:D20)</f>
        <v>5774666726.8054771</v>
      </c>
      <c r="E21" s="44">
        <f t="shared" si="4"/>
        <v>2219736511</v>
      </c>
      <c r="F21" s="44">
        <f t="shared" si="4"/>
        <v>1577859690.8189559</v>
      </c>
      <c r="G21" s="46">
        <f t="shared" si="4"/>
        <v>3197174384</v>
      </c>
      <c r="H21" s="46">
        <f t="shared" si="4"/>
        <v>3170002842.5279341</v>
      </c>
      <c r="I21" s="48">
        <f t="shared" si="4"/>
        <v>3397174875</v>
      </c>
      <c r="J21" s="48">
        <f t="shared" si="4"/>
        <v>3314860574.8476334</v>
      </c>
      <c r="K21" s="50">
        <f t="shared" si="4"/>
        <v>16563941151</v>
      </c>
      <c r="L21" s="50">
        <f t="shared" si="4"/>
        <v>13837389835</v>
      </c>
      <c r="M21" s="50">
        <f t="shared" si="4"/>
        <v>-2726551316</v>
      </c>
    </row>
    <row r="22" spans="1:15" x14ac:dyDescent="0.25">
      <c r="B22" s="18"/>
      <c r="C22" s="18"/>
      <c r="D22" s="17"/>
    </row>
    <row r="23" spans="1:15" x14ac:dyDescent="0.25">
      <c r="B23" s="17"/>
      <c r="C23" s="18"/>
      <c r="D23" s="25">
        <v>1697259900</v>
      </c>
      <c r="F23" s="28">
        <v>67914700</v>
      </c>
      <c r="H23" s="31">
        <v>460065700</v>
      </c>
      <c r="J23" s="35">
        <v>297443600</v>
      </c>
      <c r="L23" s="1">
        <v>0.11469399713535255</v>
      </c>
      <c r="M23" s="12"/>
    </row>
    <row r="24" spans="1:15" x14ac:dyDescent="0.25">
      <c r="B24" s="18"/>
      <c r="C24" s="18"/>
      <c r="D24" s="25">
        <v>1139646900</v>
      </c>
      <c r="F24" s="28">
        <v>53050900</v>
      </c>
      <c r="H24" s="31">
        <v>228011900</v>
      </c>
      <c r="J24" s="35">
        <v>156381400</v>
      </c>
      <c r="L24" s="1">
        <v>0.2141665754121623</v>
      </c>
    </row>
    <row r="25" spans="1:15" x14ac:dyDescent="0.25">
      <c r="B25" s="18"/>
      <c r="C25" s="18"/>
      <c r="D25" s="25">
        <v>47250500</v>
      </c>
      <c r="F25" s="28">
        <v>1054024000</v>
      </c>
      <c r="H25" s="31">
        <v>32775200</v>
      </c>
      <c r="J25" s="35">
        <v>1234442400</v>
      </c>
      <c r="L25" s="1">
        <v>0.15835720963561584</v>
      </c>
    </row>
    <row r="26" spans="1:15" x14ac:dyDescent="0.25">
      <c r="B26" s="18"/>
      <c r="C26" s="18"/>
      <c r="D26" s="25">
        <v>794669500</v>
      </c>
      <c r="F26" s="28"/>
      <c r="H26" s="31"/>
      <c r="J26" s="35"/>
      <c r="L26" s="1">
        <v>0.68598140484817904</v>
      </c>
    </row>
    <row r="27" spans="1:15" x14ac:dyDescent="0.25">
      <c r="D27" s="25"/>
      <c r="F27" s="28">
        <v>465247500</v>
      </c>
      <c r="H27" s="31">
        <v>2499296000</v>
      </c>
      <c r="J27" s="35">
        <v>1536574300</v>
      </c>
      <c r="L27" s="1">
        <v>0.64796129085979493</v>
      </c>
    </row>
    <row r="28" spans="1:15" x14ac:dyDescent="0.25">
      <c r="L28" s="1" t="e">
        <f>L17/#REF!</f>
        <v>#REF!</v>
      </c>
    </row>
  </sheetData>
  <mergeCells count="11">
    <mergeCell ref="M7:M8"/>
    <mergeCell ref="L7:L8"/>
    <mergeCell ref="A6:A8"/>
    <mergeCell ref="B6:B8"/>
    <mergeCell ref="C6:J6"/>
    <mergeCell ref="K6:M6"/>
    <mergeCell ref="C7:D7"/>
    <mergeCell ref="E7:F7"/>
    <mergeCell ref="G7:H7"/>
    <mergeCell ref="I7:J7"/>
    <mergeCell ref="K7:K8"/>
  </mergeCells>
  <pageMargins left="0.2" right="0.2" top="0.2" bottom="0.2" header="0.2" footer="0.2"/>
  <pageSetup paperSize="9" scale="9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K31" sqref="K31"/>
    </sheetView>
  </sheetViews>
  <sheetFormatPr defaultColWidth="8.875" defaultRowHeight="15" x14ac:dyDescent="0.25"/>
  <cols>
    <col min="1" max="1" width="3.375" style="1" customWidth="1"/>
    <col min="2" max="2" width="13.375" style="1" customWidth="1"/>
    <col min="3" max="4" width="10.75" style="1" customWidth="1"/>
    <col min="5" max="6" width="10.25" style="1" customWidth="1"/>
    <col min="7" max="7" width="10.375" style="1" customWidth="1"/>
    <col min="8" max="9" width="10.25" style="1" customWidth="1"/>
    <col min="10" max="10" width="10.75" style="1" customWidth="1"/>
    <col min="11" max="11" width="11.125" style="1" customWidth="1"/>
    <col min="12" max="12" width="11.25" style="1" customWidth="1"/>
    <col min="13" max="13" width="10.625" style="1" customWidth="1"/>
    <col min="14" max="14" width="15.25" style="1" customWidth="1"/>
    <col min="15" max="15" width="11" style="1" customWidth="1"/>
    <col min="16" max="16" width="14.75" style="1" bestFit="1" customWidth="1"/>
    <col min="17" max="17" width="14.75" style="1" customWidth="1"/>
    <col min="18" max="18" width="11.375" style="1" customWidth="1"/>
    <col min="19" max="20" width="8.875" style="1"/>
    <col min="21" max="21" width="9.875" style="1" customWidth="1"/>
    <col min="22" max="23" width="8.875" style="1"/>
    <col min="24" max="24" width="11" style="1" customWidth="1"/>
    <col min="25" max="16384" width="8.875" style="1"/>
  </cols>
  <sheetData>
    <row r="1" spans="1:24" x14ac:dyDescent="0.25">
      <c r="A1" s="1" t="s">
        <v>0</v>
      </c>
    </row>
    <row r="2" spans="1:24" x14ac:dyDescent="0.25">
      <c r="A2" s="2" t="s">
        <v>1</v>
      </c>
    </row>
    <row r="4" spans="1:24" ht="20.25" x14ac:dyDescent="0.3">
      <c r="D4" s="8" t="s">
        <v>34</v>
      </c>
      <c r="K4" s="16"/>
      <c r="L4" s="17"/>
      <c r="M4" s="17"/>
      <c r="N4" s="17"/>
    </row>
    <row r="5" spans="1:24" x14ac:dyDescent="0.25">
      <c r="K5" s="18"/>
      <c r="L5" s="18"/>
      <c r="M5" s="18"/>
      <c r="N5" s="18"/>
    </row>
    <row r="6" spans="1:24" s="3" customFormat="1" ht="23.45" customHeight="1" x14ac:dyDescent="0.25">
      <c r="A6" s="162" t="s">
        <v>3</v>
      </c>
      <c r="B6" s="162" t="s">
        <v>4</v>
      </c>
      <c r="C6" s="171" t="s">
        <v>39</v>
      </c>
      <c r="D6" s="172"/>
      <c r="E6" s="172"/>
      <c r="F6" s="172"/>
      <c r="G6" s="172"/>
      <c r="H6" s="172"/>
      <c r="I6" s="172"/>
      <c r="J6" s="173"/>
      <c r="K6" s="171" t="s">
        <v>29</v>
      </c>
      <c r="L6" s="172"/>
      <c r="M6" s="172"/>
      <c r="N6" s="172"/>
      <c r="O6" s="173"/>
    </row>
    <row r="7" spans="1:24" s="3" customFormat="1" ht="22.15" customHeight="1" x14ac:dyDescent="0.25">
      <c r="A7" s="162"/>
      <c r="B7" s="162"/>
      <c r="C7" s="174" t="s">
        <v>6</v>
      </c>
      <c r="D7" s="174"/>
      <c r="E7" s="175" t="s">
        <v>7</v>
      </c>
      <c r="F7" s="175"/>
      <c r="G7" s="176" t="s">
        <v>8</v>
      </c>
      <c r="H7" s="176"/>
      <c r="I7" s="177" t="s">
        <v>9</v>
      </c>
      <c r="J7" s="178"/>
      <c r="K7" s="160">
        <v>2016</v>
      </c>
      <c r="L7" s="179">
        <v>2017</v>
      </c>
      <c r="M7" s="180"/>
      <c r="N7" s="181"/>
      <c r="O7" s="154" t="s">
        <v>38</v>
      </c>
    </row>
    <row r="8" spans="1:24" s="3" customFormat="1" ht="57.6" customHeight="1" x14ac:dyDescent="0.25">
      <c r="A8" s="162"/>
      <c r="B8" s="162"/>
      <c r="C8" s="23">
        <v>2016</v>
      </c>
      <c r="D8" s="23">
        <v>2017</v>
      </c>
      <c r="E8" s="26">
        <v>2016</v>
      </c>
      <c r="F8" s="26">
        <v>2017</v>
      </c>
      <c r="G8" s="29">
        <v>2016</v>
      </c>
      <c r="H8" s="29">
        <v>2017</v>
      </c>
      <c r="I8" s="32">
        <v>2016</v>
      </c>
      <c r="J8" s="33">
        <v>2017</v>
      </c>
      <c r="K8" s="161"/>
      <c r="L8" s="14" t="s">
        <v>30</v>
      </c>
      <c r="M8" s="14" t="s">
        <v>31</v>
      </c>
      <c r="N8" s="14" t="s">
        <v>32</v>
      </c>
      <c r="O8" s="155"/>
    </row>
    <row r="9" spans="1:24" s="3" customFormat="1" ht="18.600000000000001" customHeight="1" x14ac:dyDescent="0.25">
      <c r="A9" s="13">
        <v>1</v>
      </c>
      <c r="B9" s="13">
        <v>2</v>
      </c>
      <c r="C9" s="24">
        <v>3</v>
      </c>
      <c r="D9" s="24">
        <v>4</v>
      </c>
      <c r="E9" s="27">
        <v>5</v>
      </c>
      <c r="F9" s="27">
        <v>6</v>
      </c>
      <c r="G9" s="30">
        <v>7</v>
      </c>
      <c r="H9" s="30">
        <v>8</v>
      </c>
      <c r="I9" s="34">
        <v>9</v>
      </c>
      <c r="J9" s="34">
        <v>10</v>
      </c>
      <c r="K9" s="13" t="s">
        <v>35</v>
      </c>
      <c r="L9" s="13">
        <v>12</v>
      </c>
      <c r="M9" s="13">
        <v>13</v>
      </c>
      <c r="N9" s="13" t="s">
        <v>36</v>
      </c>
      <c r="O9" s="13" t="s">
        <v>37</v>
      </c>
    </row>
    <row r="10" spans="1:24" ht="21" customHeight="1" x14ac:dyDescent="0.25">
      <c r="A10" s="4">
        <v>1</v>
      </c>
      <c r="B10" s="5" t="s">
        <v>11</v>
      </c>
      <c r="C10" s="25">
        <v>22244</v>
      </c>
      <c r="D10" s="25">
        <v>25610</v>
      </c>
      <c r="E10" s="28">
        <v>614</v>
      </c>
      <c r="F10" s="28">
        <v>561</v>
      </c>
      <c r="G10" s="31">
        <v>2772</v>
      </c>
      <c r="H10" s="31">
        <v>3283</v>
      </c>
      <c r="I10" s="35">
        <v>2294</v>
      </c>
      <c r="J10" s="35">
        <v>2576</v>
      </c>
      <c r="K10" s="20">
        <f>C10+E10+G10+I10</f>
        <v>27924</v>
      </c>
      <c r="L10" s="20">
        <f>D10+F10+H10+J10</f>
        <v>32030</v>
      </c>
      <c r="M10" s="20"/>
      <c r="N10" s="20">
        <f>L10-M10</f>
        <v>32030</v>
      </c>
      <c r="O10" s="20">
        <f>N10-K10</f>
        <v>4106</v>
      </c>
    </row>
    <row r="11" spans="1:24" ht="21" customHeight="1" x14ac:dyDescent="0.25">
      <c r="A11" s="4">
        <v>2</v>
      </c>
      <c r="B11" s="5" t="s">
        <v>12</v>
      </c>
      <c r="C11" s="25"/>
      <c r="D11" s="25"/>
      <c r="E11" s="28">
        <v>7690</v>
      </c>
      <c r="F11" s="28">
        <v>6419</v>
      </c>
      <c r="G11" s="31">
        <v>16979</v>
      </c>
      <c r="H11" s="31">
        <v>17464</v>
      </c>
      <c r="I11" s="35">
        <v>11945</v>
      </c>
      <c r="J11" s="35">
        <v>11310</v>
      </c>
      <c r="K11" s="20">
        <f t="shared" ref="K11:K20" si="0">C11+E11+G11+I11</f>
        <v>36614</v>
      </c>
      <c r="L11" s="20">
        <f t="shared" ref="L11:L20" si="1">D11+F11+H11+J11</f>
        <v>35193</v>
      </c>
      <c r="M11" s="20"/>
      <c r="N11" s="20">
        <f t="shared" ref="N11:N20" si="2">L11-M11</f>
        <v>35193</v>
      </c>
      <c r="O11" s="20">
        <f t="shared" ref="O11:O20" si="3">N11-K11</f>
        <v>-1421</v>
      </c>
    </row>
    <row r="12" spans="1:24" ht="21" customHeight="1" x14ac:dyDescent="0.25">
      <c r="A12" s="4">
        <v>3</v>
      </c>
      <c r="B12" s="5" t="s">
        <v>13</v>
      </c>
      <c r="C12" s="25">
        <v>2170940000</v>
      </c>
      <c r="D12" s="25">
        <v>1697259900</v>
      </c>
      <c r="E12" s="28">
        <v>128072500</v>
      </c>
      <c r="F12" s="28">
        <v>67914700</v>
      </c>
      <c r="G12" s="31">
        <v>542842000</v>
      </c>
      <c r="H12" s="31">
        <v>460065700</v>
      </c>
      <c r="I12" s="35">
        <v>408099500</v>
      </c>
      <c r="J12" s="35">
        <v>297443600</v>
      </c>
      <c r="K12" s="20">
        <f t="shared" si="0"/>
        <v>3249954000</v>
      </c>
      <c r="L12" s="21">
        <f t="shared" si="1"/>
        <v>2522683900</v>
      </c>
      <c r="M12" s="21">
        <v>289336700</v>
      </c>
      <c r="N12" s="20">
        <f t="shared" si="2"/>
        <v>2233347200</v>
      </c>
      <c r="O12" s="20">
        <f t="shared" si="3"/>
        <v>-1016606800</v>
      </c>
      <c r="R12" s="1">
        <v>218217100</v>
      </c>
      <c r="S12" s="1">
        <v>2968500</v>
      </c>
      <c r="T12" s="1">
        <v>1365400</v>
      </c>
      <c r="U12" s="1">
        <v>65072800</v>
      </c>
      <c r="V12" s="1">
        <v>1146100</v>
      </c>
      <c r="W12" s="1">
        <v>566800</v>
      </c>
      <c r="X12" s="2">
        <f>SUM(R12:W12)</f>
        <v>289336700</v>
      </c>
    </row>
    <row r="13" spans="1:24" ht="21" customHeight="1" x14ac:dyDescent="0.25">
      <c r="A13" s="4">
        <v>4</v>
      </c>
      <c r="B13" s="5" t="s">
        <v>14</v>
      </c>
      <c r="C13" s="25">
        <v>788124000</v>
      </c>
      <c r="D13" s="25">
        <v>1139646900</v>
      </c>
      <c r="E13" s="28">
        <v>40166000</v>
      </c>
      <c r="F13" s="28">
        <v>53050900</v>
      </c>
      <c r="G13" s="31">
        <v>146520000</v>
      </c>
      <c r="H13" s="31">
        <v>228011900</v>
      </c>
      <c r="I13" s="35">
        <v>118403000</v>
      </c>
      <c r="J13" s="35">
        <v>156381400</v>
      </c>
      <c r="K13" s="20">
        <f t="shared" si="0"/>
        <v>1093213000</v>
      </c>
      <c r="L13" s="21">
        <f t="shared" si="1"/>
        <v>1577091100</v>
      </c>
      <c r="M13" s="21">
        <v>337760200</v>
      </c>
      <c r="N13" s="20">
        <f t="shared" si="2"/>
        <v>1239330900</v>
      </c>
      <c r="O13" s="20">
        <f t="shared" si="3"/>
        <v>146117900</v>
      </c>
      <c r="R13" s="1">
        <v>270077800</v>
      </c>
      <c r="S13" s="1">
        <v>4139400</v>
      </c>
      <c r="T13" s="1">
        <v>2227600</v>
      </c>
      <c r="U13" s="1">
        <v>59759100</v>
      </c>
      <c r="V13" s="1">
        <v>1077300</v>
      </c>
      <c r="W13" s="1">
        <v>479000</v>
      </c>
      <c r="X13" s="2">
        <f t="shared" ref="X13:X16" si="4">SUM(R13:W13)</f>
        <v>337760200</v>
      </c>
    </row>
    <row r="14" spans="1:24" ht="21" customHeight="1" x14ac:dyDescent="0.25">
      <c r="A14" s="4">
        <v>5</v>
      </c>
      <c r="B14" s="5" t="s">
        <v>17</v>
      </c>
      <c r="C14" s="25">
        <v>498661500</v>
      </c>
      <c r="D14" s="25">
        <v>47250500</v>
      </c>
      <c r="E14" s="28">
        <v>1262104100</v>
      </c>
      <c r="F14" s="28">
        <v>1054024000</v>
      </c>
      <c r="G14" s="31">
        <v>138749600</v>
      </c>
      <c r="H14" s="31">
        <v>32775200</v>
      </c>
      <c r="I14" s="35">
        <f>1098519100+2574000</f>
        <v>1101093100</v>
      </c>
      <c r="J14" s="35">
        <v>1234442400</v>
      </c>
      <c r="K14" s="20">
        <f t="shared" si="0"/>
        <v>3000608300</v>
      </c>
      <c r="L14" s="21">
        <f t="shared" si="1"/>
        <v>2368492100</v>
      </c>
      <c r="M14" s="21">
        <v>375067800</v>
      </c>
      <c r="N14" s="20">
        <f t="shared" si="2"/>
        <v>1993424300</v>
      </c>
      <c r="O14" s="20">
        <f t="shared" si="3"/>
        <v>-1007184000</v>
      </c>
      <c r="R14" s="1">
        <v>255035900</v>
      </c>
      <c r="S14" s="1">
        <v>7899100</v>
      </c>
      <c r="T14" s="1">
        <v>5514800</v>
      </c>
      <c r="U14" s="1">
        <v>100997500</v>
      </c>
      <c r="V14" s="1">
        <v>3142600</v>
      </c>
      <c r="W14" s="1">
        <v>2477900</v>
      </c>
      <c r="X14" s="2">
        <f t="shared" si="4"/>
        <v>375067800</v>
      </c>
    </row>
    <row r="15" spans="1:24" ht="21" customHeight="1" x14ac:dyDescent="0.25">
      <c r="A15" s="4">
        <v>6</v>
      </c>
      <c r="B15" s="5" t="s">
        <v>19</v>
      </c>
      <c r="C15" s="25">
        <v>218888000</v>
      </c>
      <c r="D15" s="25">
        <v>794669500</v>
      </c>
      <c r="E15" s="28"/>
      <c r="F15" s="28"/>
      <c r="G15" s="31"/>
      <c r="H15" s="31"/>
      <c r="I15" s="35"/>
      <c r="J15" s="35"/>
      <c r="K15" s="20">
        <f t="shared" si="0"/>
        <v>218888000</v>
      </c>
      <c r="L15" s="21">
        <f t="shared" si="1"/>
        <v>794669500</v>
      </c>
      <c r="M15" s="21">
        <v>545128500</v>
      </c>
      <c r="N15" s="20">
        <f t="shared" si="2"/>
        <v>249541000</v>
      </c>
      <c r="O15" s="20">
        <f t="shared" si="3"/>
        <v>30653000</v>
      </c>
      <c r="R15" s="1">
        <v>400014300</v>
      </c>
      <c r="S15" s="1">
        <v>4725000</v>
      </c>
      <c r="T15" s="1">
        <v>2058000</v>
      </c>
      <c r="U15" s="1">
        <v>135454200</v>
      </c>
      <c r="V15" s="1">
        <v>1932000</v>
      </c>
      <c r="W15" s="1">
        <v>945000</v>
      </c>
      <c r="X15" s="2">
        <f t="shared" si="4"/>
        <v>545128500</v>
      </c>
    </row>
    <row r="16" spans="1:24" ht="21" customHeight="1" x14ac:dyDescent="0.25">
      <c r="A16" s="4">
        <v>7</v>
      </c>
      <c r="B16" s="5" t="s">
        <v>20</v>
      </c>
      <c r="C16" s="25"/>
      <c r="D16" s="25"/>
      <c r="E16" s="28">
        <v>253403500</v>
      </c>
      <c r="F16" s="28">
        <v>465247500</v>
      </c>
      <c r="G16" s="31">
        <v>848556500</v>
      </c>
      <c r="H16" s="31">
        <v>2499296000</v>
      </c>
      <c r="I16" s="35">
        <v>566057000</v>
      </c>
      <c r="J16" s="35">
        <v>1536574300</v>
      </c>
      <c r="K16" s="20">
        <f t="shared" si="0"/>
        <v>1668017000</v>
      </c>
      <c r="L16" s="21">
        <f t="shared" si="1"/>
        <v>4501117800</v>
      </c>
      <c r="M16" s="21">
        <v>2916550100</v>
      </c>
      <c r="N16" s="20">
        <f t="shared" si="2"/>
        <v>1584567700</v>
      </c>
      <c r="O16" s="20">
        <f t="shared" si="3"/>
        <v>-83449300</v>
      </c>
      <c r="P16" s="19" t="s">
        <v>33</v>
      </c>
      <c r="R16" s="1">
        <v>2075395500</v>
      </c>
      <c r="S16" s="1">
        <v>40663200</v>
      </c>
      <c r="T16" s="1">
        <v>15794800</v>
      </c>
      <c r="U16" s="1">
        <v>757835700</v>
      </c>
      <c r="V16" s="1">
        <v>18689100</v>
      </c>
      <c r="W16" s="1">
        <v>8171800</v>
      </c>
      <c r="X16" s="2">
        <f t="shared" si="4"/>
        <v>2916550100</v>
      </c>
    </row>
    <row r="17" spans="1:17" ht="21" customHeight="1" x14ac:dyDescent="0.25">
      <c r="A17" s="4">
        <v>8</v>
      </c>
      <c r="B17" s="5" t="s">
        <v>15</v>
      </c>
      <c r="C17" s="25">
        <v>4073241881</v>
      </c>
      <c r="D17" s="25">
        <v>3087190680</v>
      </c>
      <c r="E17" s="28">
        <v>532406021</v>
      </c>
      <c r="F17" s="28">
        <v>423634223</v>
      </c>
      <c r="G17" s="31">
        <v>1393106445</v>
      </c>
      <c r="H17" s="31">
        <v>1510264445</v>
      </c>
      <c r="I17" s="35">
        <v>1129138430</v>
      </c>
      <c r="J17" s="35">
        <v>1253782424</v>
      </c>
      <c r="K17" s="20">
        <f t="shared" si="0"/>
        <v>7127892777</v>
      </c>
      <c r="L17" s="20">
        <f t="shared" si="1"/>
        <v>6274871772</v>
      </c>
      <c r="M17" s="20"/>
      <c r="N17" s="20">
        <f t="shared" si="2"/>
        <v>6274871772</v>
      </c>
      <c r="O17" s="20">
        <f t="shared" si="3"/>
        <v>-853021005</v>
      </c>
      <c r="P17" s="15">
        <f>SUM(O12:O16)</f>
        <v>-1930469200</v>
      </c>
      <c r="Q17" s="15"/>
    </row>
    <row r="18" spans="1:17" ht="21" customHeight="1" x14ac:dyDescent="0.25">
      <c r="A18" s="4">
        <v>9</v>
      </c>
      <c r="B18" s="5" t="s">
        <v>16</v>
      </c>
      <c r="C18" s="25"/>
      <c r="D18" s="25"/>
      <c r="E18" s="28"/>
      <c r="F18" s="28"/>
      <c r="G18" s="31">
        <v>18090000</v>
      </c>
      <c r="H18" s="31">
        <v>42940000</v>
      </c>
      <c r="I18" s="35"/>
      <c r="J18" s="35">
        <v>11860000</v>
      </c>
      <c r="K18" s="20">
        <f t="shared" si="0"/>
        <v>18090000</v>
      </c>
      <c r="L18" s="20">
        <f t="shared" si="1"/>
        <v>54800000</v>
      </c>
      <c r="M18" s="20"/>
      <c r="N18" s="20">
        <f t="shared" si="2"/>
        <v>54800000</v>
      </c>
      <c r="O18" s="20">
        <f t="shared" si="3"/>
        <v>36710000</v>
      </c>
    </row>
    <row r="19" spans="1:17" ht="21" customHeight="1" x14ac:dyDescent="0.25">
      <c r="A19" s="4">
        <v>10</v>
      </c>
      <c r="B19" s="5" t="s">
        <v>24</v>
      </c>
      <c r="C19" s="25"/>
      <c r="D19" s="25"/>
      <c r="E19" s="28">
        <v>2701320</v>
      </c>
      <c r="F19" s="28">
        <v>1059000</v>
      </c>
      <c r="G19" s="31">
        <v>57185400</v>
      </c>
      <c r="H19" s="31">
        <v>42016276</v>
      </c>
      <c r="I19" s="35">
        <v>56829710</v>
      </c>
      <c r="J19" s="35">
        <v>66996660</v>
      </c>
      <c r="K19" s="20">
        <f t="shared" si="0"/>
        <v>116716430</v>
      </c>
      <c r="L19" s="20">
        <f t="shared" si="1"/>
        <v>110071936</v>
      </c>
      <c r="M19" s="20"/>
      <c r="N19" s="20">
        <f t="shared" si="2"/>
        <v>110071936</v>
      </c>
      <c r="O19" s="20">
        <f t="shared" si="3"/>
        <v>-6644494</v>
      </c>
    </row>
    <row r="20" spans="1:17" ht="21" customHeight="1" x14ac:dyDescent="0.25">
      <c r="A20" s="4">
        <v>11</v>
      </c>
      <c r="B20" s="5" t="s">
        <v>18</v>
      </c>
      <c r="C20" s="25"/>
      <c r="D20" s="25"/>
      <c r="E20" s="28">
        <v>883070</v>
      </c>
      <c r="F20" s="28">
        <v>455176</v>
      </c>
      <c r="G20" s="31">
        <v>52124439</v>
      </c>
      <c r="H20" s="31">
        <v>80869875</v>
      </c>
      <c r="I20" s="35">
        <v>17554135</v>
      </c>
      <c r="J20" s="35">
        <v>16109976</v>
      </c>
      <c r="K20" s="20">
        <f t="shared" si="0"/>
        <v>70561644</v>
      </c>
      <c r="L20" s="20">
        <f t="shared" si="1"/>
        <v>97435027</v>
      </c>
      <c r="M20" s="20"/>
      <c r="N20" s="20">
        <f t="shared" si="2"/>
        <v>97435027</v>
      </c>
      <c r="O20" s="20">
        <f t="shared" si="3"/>
        <v>26873383</v>
      </c>
    </row>
    <row r="21" spans="1:17" ht="21" customHeight="1" x14ac:dyDescent="0.25">
      <c r="A21" s="5"/>
      <c r="B21" s="7" t="s">
        <v>23</v>
      </c>
      <c r="C21" s="25">
        <f>SUM(C12:C20)</f>
        <v>7749855381</v>
      </c>
      <c r="D21" s="25">
        <f t="shared" ref="D21:O21" si="5">SUM(D12:D20)</f>
        <v>6766017480</v>
      </c>
      <c r="E21" s="28">
        <f t="shared" si="5"/>
        <v>2219736511</v>
      </c>
      <c r="F21" s="28">
        <f t="shared" si="5"/>
        <v>2065385499</v>
      </c>
      <c r="G21" s="31">
        <f t="shared" si="5"/>
        <v>3197174384</v>
      </c>
      <c r="H21" s="31">
        <f t="shared" si="5"/>
        <v>4896239396</v>
      </c>
      <c r="I21" s="35">
        <f t="shared" si="5"/>
        <v>3397174875</v>
      </c>
      <c r="J21" s="35">
        <f t="shared" si="5"/>
        <v>4573590760</v>
      </c>
      <c r="K21" s="20">
        <f t="shared" si="5"/>
        <v>16563941151</v>
      </c>
      <c r="L21" s="20">
        <f t="shared" si="5"/>
        <v>18301233135</v>
      </c>
      <c r="M21" s="20">
        <f t="shared" si="5"/>
        <v>4463843300</v>
      </c>
      <c r="N21" s="20">
        <f t="shared" si="5"/>
        <v>13837389835</v>
      </c>
      <c r="O21" s="20">
        <f t="shared" si="5"/>
        <v>-2726551316</v>
      </c>
    </row>
    <row r="22" spans="1:17" x14ac:dyDescent="0.25">
      <c r="B22" s="18"/>
      <c r="C22" s="18"/>
      <c r="D22" s="17"/>
    </row>
    <row r="23" spans="1:17" x14ac:dyDescent="0.25">
      <c r="B23" s="17"/>
      <c r="C23" s="18"/>
      <c r="D23" s="22"/>
      <c r="J23" s="11"/>
      <c r="M23" s="1">
        <f>M12/L12</f>
        <v>0.11469399713535255</v>
      </c>
      <c r="O23" s="12"/>
    </row>
    <row r="24" spans="1:17" x14ac:dyDescent="0.25">
      <c r="B24" s="18"/>
      <c r="C24" s="18"/>
      <c r="D24" s="22"/>
      <c r="L24" s="12"/>
      <c r="M24" s="1">
        <f t="shared" ref="M24:M28" si="6">M13/L13</f>
        <v>0.2141665754121623</v>
      </c>
    </row>
    <row r="25" spans="1:17" x14ac:dyDescent="0.25">
      <c r="B25" s="18"/>
      <c r="C25" s="18"/>
      <c r="D25" s="17"/>
      <c r="M25" s="1">
        <f t="shared" si="6"/>
        <v>0.15835720963561584</v>
      </c>
    </row>
    <row r="26" spans="1:17" x14ac:dyDescent="0.25">
      <c r="B26" s="18"/>
      <c r="C26" s="18"/>
      <c r="D26" s="18"/>
      <c r="M26" s="1">
        <f t="shared" si="6"/>
        <v>0.68598140484817904</v>
      </c>
    </row>
    <row r="27" spans="1:17" x14ac:dyDescent="0.25">
      <c r="M27" s="1">
        <f t="shared" si="6"/>
        <v>0.64796129085979493</v>
      </c>
    </row>
    <row r="28" spans="1:17" x14ac:dyDescent="0.25">
      <c r="M28" s="1">
        <f t="shared" si="6"/>
        <v>0</v>
      </c>
    </row>
  </sheetData>
  <mergeCells count="11">
    <mergeCell ref="A6:A8"/>
    <mergeCell ref="B6:B8"/>
    <mergeCell ref="C7:D7"/>
    <mergeCell ref="E7:F7"/>
    <mergeCell ref="G7:H7"/>
    <mergeCell ref="C6:J6"/>
    <mergeCell ref="K6:O6"/>
    <mergeCell ref="K7:K8"/>
    <mergeCell ref="O7:O8"/>
    <mergeCell ref="L7:N7"/>
    <mergeCell ref="I7:J7"/>
  </mergeCells>
  <pageMargins left="0.2" right="0.2" top="0.2" bottom="0.75" header="0.2" footer="0.3"/>
  <pageSetup paperSize="9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2" workbookViewId="0">
      <selection activeCell="F23" sqref="F23"/>
    </sheetView>
  </sheetViews>
  <sheetFormatPr defaultColWidth="8.875" defaultRowHeight="15" x14ac:dyDescent="0.25"/>
  <cols>
    <col min="1" max="1" width="5.25" style="1" customWidth="1"/>
    <col min="2" max="2" width="13.375" style="1" customWidth="1"/>
    <col min="3" max="3" width="12.25" style="1" customWidth="1"/>
    <col min="4" max="4" width="9.75" style="1" customWidth="1"/>
    <col min="5" max="5" width="17.375" style="1" customWidth="1"/>
    <col min="6" max="6" width="13.125" style="1" customWidth="1"/>
    <col min="7" max="7" width="15.375" style="1" customWidth="1"/>
    <col min="8" max="8" width="11.875" style="1" customWidth="1"/>
    <col min="9" max="9" width="10" style="1" customWidth="1"/>
    <col min="10" max="10" width="13.125" style="1" customWidth="1"/>
    <col min="11" max="11" width="11.125" style="1" customWidth="1"/>
    <col min="12" max="12" width="10.625" style="1" customWidth="1"/>
    <col min="13" max="13" width="12.625" style="1" customWidth="1"/>
    <col min="14" max="14" width="10.25" style="1" customWidth="1"/>
    <col min="15" max="15" width="12.25" style="1" customWidth="1"/>
    <col min="16" max="16" width="8.875" style="1"/>
    <col min="17" max="17" width="10.875" style="1" customWidth="1"/>
    <col min="18" max="18" width="12.75" style="1" customWidth="1"/>
    <col min="19" max="19" width="11.125" style="1" customWidth="1"/>
    <col min="20" max="20" width="11.875" style="1" customWidth="1"/>
    <col min="21" max="21" width="11.75" style="1" customWidth="1"/>
    <col min="22" max="22" width="10.75" style="1" customWidth="1"/>
    <col min="23" max="16384" width="8.875" style="1"/>
  </cols>
  <sheetData>
    <row r="1" spans="1:22" x14ac:dyDescent="0.25">
      <c r="A1" s="1" t="s">
        <v>0</v>
      </c>
    </row>
    <row r="2" spans="1:22" x14ac:dyDescent="0.25">
      <c r="A2" s="2" t="s">
        <v>1</v>
      </c>
    </row>
    <row r="4" spans="1:22" ht="20.25" x14ac:dyDescent="0.3">
      <c r="C4" s="8" t="s">
        <v>2</v>
      </c>
      <c r="D4" s="2"/>
    </row>
    <row r="6" spans="1:22" s="3" customFormat="1" ht="23.45" customHeight="1" x14ac:dyDescent="0.25">
      <c r="A6" s="162" t="s">
        <v>3</v>
      </c>
      <c r="B6" s="162" t="s">
        <v>4</v>
      </c>
      <c r="C6" s="162" t="s">
        <v>5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1:22" s="3" customFormat="1" ht="22.15" customHeight="1" x14ac:dyDescent="0.25">
      <c r="A7" s="162"/>
      <c r="B7" s="162"/>
      <c r="C7" s="162" t="s">
        <v>6</v>
      </c>
      <c r="D7" s="162"/>
      <c r="E7" s="162"/>
      <c r="F7" s="162"/>
      <c r="G7" s="162"/>
      <c r="H7" s="162" t="s">
        <v>7</v>
      </c>
      <c r="I7" s="162"/>
      <c r="J7" s="162"/>
      <c r="K7" s="162"/>
      <c r="L7" s="162"/>
      <c r="M7" s="162" t="s">
        <v>8</v>
      </c>
      <c r="N7" s="162"/>
      <c r="O7" s="162"/>
      <c r="P7" s="162"/>
      <c r="Q7" s="162"/>
      <c r="R7" s="162" t="s">
        <v>9</v>
      </c>
      <c r="S7" s="162"/>
      <c r="T7" s="162"/>
      <c r="U7" s="162"/>
      <c r="V7" s="162"/>
    </row>
    <row r="8" spans="1:22" s="3" customFormat="1" ht="22.15" customHeight="1" x14ac:dyDescent="0.25">
      <c r="A8" s="162"/>
      <c r="B8" s="162"/>
      <c r="C8" s="171">
        <v>2016</v>
      </c>
      <c r="D8" s="173"/>
      <c r="E8" s="171">
        <v>2017</v>
      </c>
      <c r="F8" s="173"/>
      <c r="G8" s="6"/>
      <c r="H8" s="171">
        <v>2016</v>
      </c>
      <c r="I8" s="173"/>
      <c r="J8" s="171">
        <v>2017</v>
      </c>
      <c r="K8" s="173"/>
      <c r="L8" s="6"/>
      <c r="M8" s="171">
        <v>2016</v>
      </c>
      <c r="N8" s="173"/>
      <c r="O8" s="171">
        <v>2017</v>
      </c>
      <c r="P8" s="173"/>
      <c r="Q8" s="6"/>
      <c r="R8" s="171">
        <v>2016</v>
      </c>
      <c r="S8" s="173"/>
      <c r="T8" s="171">
        <v>2017</v>
      </c>
      <c r="U8" s="173"/>
      <c r="V8" s="6"/>
    </row>
    <row r="9" spans="1:22" s="3" customFormat="1" ht="18.600000000000001" customHeight="1" x14ac:dyDescent="0.25">
      <c r="A9" s="162"/>
      <c r="B9" s="162"/>
      <c r="C9" s="6" t="s">
        <v>21</v>
      </c>
      <c r="D9" s="6" t="s">
        <v>22</v>
      </c>
      <c r="E9" s="6" t="s">
        <v>21</v>
      </c>
      <c r="F9" s="6" t="s">
        <v>22</v>
      </c>
      <c r="G9" s="6" t="s">
        <v>10</v>
      </c>
      <c r="H9" s="6" t="s">
        <v>21</v>
      </c>
      <c r="I9" s="6" t="s">
        <v>22</v>
      </c>
      <c r="J9" s="6" t="s">
        <v>21</v>
      </c>
      <c r="K9" s="6" t="s">
        <v>22</v>
      </c>
      <c r="L9" s="6" t="s">
        <v>10</v>
      </c>
      <c r="M9" s="6" t="s">
        <v>21</v>
      </c>
      <c r="N9" s="6" t="s">
        <v>22</v>
      </c>
      <c r="O9" s="6" t="s">
        <v>21</v>
      </c>
      <c r="P9" s="6" t="s">
        <v>22</v>
      </c>
      <c r="Q9" s="6" t="s">
        <v>10</v>
      </c>
      <c r="R9" s="6" t="s">
        <v>21</v>
      </c>
      <c r="S9" s="6" t="s">
        <v>22</v>
      </c>
      <c r="T9" s="6" t="s">
        <v>21</v>
      </c>
      <c r="U9" s="6" t="s">
        <v>22</v>
      </c>
      <c r="V9" s="6" t="s">
        <v>10</v>
      </c>
    </row>
    <row r="10" spans="1:22" ht="21" customHeight="1" x14ac:dyDescent="0.25">
      <c r="A10" s="4">
        <v>1</v>
      </c>
      <c r="B10" s="5" t="s">
        <v>11</v>
      </c>
      <c r="C10" s="11">
        <v>22244</v>
      </c>
      <c r="D10" s="11"/>
      <c r="E10" s="11">
        <v>25610</v>
      </c>
      <c r="F10" s="11"/>
      <c r="G10" s="11"/>
      <c r="H10" s="11">
        <v>614</v>
      </c>
      <c r="I10" s="11"/>
      <c r="J10" s="11">
        <v>561</v>
      </c>
      <c r="K10" s="11"/>
      <c r="L10" s="11"/>
      <c r="M10" s="11">
        <v>2772</v>
      </c>
      <c r="N10" s="11"/>
      <c r="O10" s="11">
        <v>3283</v>
      </c>
      <c r="P10" s="11"/>
      <c r="Q10" s="11"/>
      <c r="R10" s="11">
        <v>2294</v>
      </c>
      <c r="S10" s="11"/>
      <c r="T10" s="11">
        <v>2576</v>
      </c>
      <c r="U10" s="11"/>
      <c r="V10" s="11"/>
    </row>
    <row r="11" spans="1:22" ht="21" customHeight="1" x14ac:dyDescent="0.25">
      <c r="A11" s="4">
        <v>2</v>
      </c>
      <c r="B11" s="5" t="s">
        <v>12</v>
      </c>
      <c r="C11" s="11"/>
      <c r="D11" s="11"/>
      <c r="E11" s="11"/>
      <c r="F11" s="11"/>
      <c r="G11" s="11"/>
      <c r="H11" s="11">
        <v>7690</v>
      </c>
      <c r="I11" s="11"/>
      <c r="J11" s="11">
        <v>6419</v>
      </c>
      <c r="K11" s="11"/>
      <c r="L11" s="11"/>
      <c r="M11" s="11">
        <v>16979</v>
      </c>
      <c r="N11" s="11"/>
      <c r="O11" s="11">
        <v>17464</v>
      </c>
      <c r="P11" s="11"/>
      <c r="Q11" s="11"/>
      <c r="R11" s="11">
        <v>11945</v>
      </c>
      <c r="S11" s="11"/>
      <c r="T11" s="11">
        <v>11310</v>
      </c>
      <c r="U11" s="11"/>
      <c r="V11" s="11"/>
    </row>
    <row r="12" spans="1:22" ht="21" customHeight="1" x14ac:dyDescent="0.25">
      <c r="A12" s="4">
        <v>3</v>
      </c>
      <c r="B12" s="5" t="s">
        <v>13</v>
      </c>
      <c r="C12" s="11">
        <v>2170940000</v>
      </c>
      <c r="D12" s="11">
        <v>22778282</v>
      </c>
      <c r="E12" s="11">
        <v>1697259900</v>
      </c>
      <c r="F12" s="11"/>
      <c r="G12" s="11"/>
      <c r="H12" s="11">
        <v>128072500</v>
      </c>
      <c r="I12" s="11">
        <v>2383511</v>
      </c>
      <c r="J12" s="11">
        <v>67914700</v>
      </c>
      <c r="K12" s="11"/>
      <c r="L12" s="11"/>
      <c r="M12" s="11">
        <v>542842000</v>
      </c>
      <c r="N12" s="11">
        <v>21260012</v>
      </c>
      <c r="O12" s="11">
        <v>460065700</v>
      </c>
      <c r="P12" s="11"/>
      <c r="Q12" s="11"/>
      <c r="R12" s="11">
        <v>408099500</v>
      </c>
      <c r="S12" s="11">
        <v>26913096</v>
      </c>
      <c r="T12" s="11">
        <v>297443600</v>
      </c>
      <c r="U12" s="11"/>
      <c r="V12" s="11"/>
    </row>
    <row r="13" spans="1:22" ht="21" customHeight="1" x14ac:dyDescent="0.25">
      <c r="A13" s="4">
        <v>4</v>
      </c>
      <c r="B13" s="5" t="s">
        <v>14</v>
      </c>
      <c r="C13" s="11">
        <v>788124000</v>
      </c>
      <c r="D13" s="11">
        <v>8129384</v>
      </c>
      <c r="E13" s="11">
        <v>1139646900</v>
      </c>
      <c r="F13" s="11"/>
      <c r="G13" s="11"/>
      <c r="H13" s="11">
        <v>40166000</v>
      </c>
      <c r="I13" s="11">
        <v>1664295</v>
      </c>
      <c r="J13" s="11">
        <v>53050900</v>
      </c>
      <c r="K13" s="11"/>
      <c r="L13" s="11"/>
      <c r="M13" s="11">
        <v>146520000</v>
      </c>
      <c r="N13" s="11">
        <v>1449093</v>
      </c>
      <c r="O13" s="11">
        <v>228011900</v>
      </c>
      <c r="P13" s="11"/>
      <c r="Q13" s="11"/>
      <c r="R13" s="11">
        <v>118403000</v>
      </c>
      <c r="S13" s="11">
        <v>3675578</v>
      </c>
      <c r="T13" s="11">
        <v>156381400</v>
      </c>
      <c r="U13" s="11"/>
      <c r="V13" s="11"/>
    </row>
    <row r="14" spans="1:22" ht="21" customHeight="1" x14ac:dyDescent="0.25">
      <c r="A14" s="4">
        <v>5</v>
      </c>
      <c r="B14" s="5" t="s">
        <v>17</v>
      </c>
      <c r="C14" s="11">
        <v>498661500</v>
      </c>
      <c r="D14" s="11">
        <v>3009360</v>
      </c>
      <c r="E14" s="11">
        <v>47250500</v>
      </c>
      <c r="F14" s="11"/>
      <c r="G14" s="11"/>
      <c r="H14" s="11">
        <v>1262104100</v>
      </c>
      <c r="I14" s="11">
        <v>24255610</v>
      </c>
      <c r="J14" s="11">
        <v>1054024000</v>
      </c>
      <c r="K14" s="11"/>
      <c r="L14" s="11"/>
      <c r="M14" s="11">
        <v>138749600</v>
      </c>
      <c r="N14" s="11">
        <v>1646334</v>
      </c>
      <c r="O14" s="11">
        <v>32775200</v>
      </c>
      <c r="P14" s="11"/>
      <c r="Q14" s="11"/>
      <c r="R14" s="11">
        <f>1098519100+2574000</f>
        <v>1101093100</v>
      </c>
      <c r="S14" s="11">
        <v>18764220</v>
      </c>
      <c r="T14" s="11">
        <v>1234442400</v>
      </c>
      <c r="U14" s="11"/>
      <c r="V14" s="11"/>
    </row>
    <row r="15" spans="1:22" ht="21" customHeight="1" x14ac:dyDescent="0.25">
      <c r="A15" s="4">
        <v>6</v>
      </c>
      <c r="B15" s="5" t="s">
        <v>19</v>
      </c>
      <c r="C15" s="11">
        <v>218888000</v>
      </c>
      <c r="D15" s="11">
        <v>790111</v>
      </c>
      <c r="E15" s="11">
        <v>794669500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1" customHeight="1" x14ac:dyDescent="0.25">
      <c r="A16" s="4">
        <v>7</v>
      </c>
      <c r="B16" s="5" t="s">
        <v>20</v>
      </c>
      <c r="C16" s="11"/>
      <c r="D16" s="11"/>
      <c r="E16" s="11"/>
      <c r="F16" s="11"/>
      <c r="G16" s="11"/>
      <c r="H16" s="11">
        <v>253403500</v>
      </c>
      <c r="I16" s="11">
        <v>7991915</v>
      </c>
      <c r="J16" s="11">
        <v>465247500</v>
      </c>
      <c r="K16" s="11"/>
      <c r="L16" s="11"/>
      <c r="M16" s="11">
        <v>848556500</v>
      </c>
      <c r="N16" s="11">
        <v>31679973</v>
      </c>
      <c r="O16" s="11">
        <v>2499296000</v>
      </c>
      <c r="P16" s="11"/>
      <c r="Q16" s="11"/>
      <c r="R16" s="11">
        <v>566057000</v>
      </c>
      <c r="S16" s="11">
        <v>26583515</v>
      </c>
      <c r="T16" s="11">
        <v>1536574300</v>
      </c>
      <c r="U16" s="11"/>
      <c r="V16" s="11"/>
    </row>
    <row r="17" spans="1:22" ht="21" customHeight="1" x14ac:dyDescent="0.25">
      <c r="A17" s="4">
        <v>8</v>
      </c>
      <c r="B17" s="5" t="s">
        <v>15</v>
      </c>
      <c r="C17" s="11">
        <v>4073241881</v>
      </c>
      <c r="D17" s="11">
        <v>12194792</v>
      </c>
      <c r="E17" s="11">
        <v>3087190680</v>
      </c>
      <c r="F17" s="11"/>
      <c r="G17" s="11"/>
      <c r="H17" s="11">
        <v>532406021</v>
      </c>
      <c r="I17" s="11">
        <v>5188752</v>
      </c>
      <c r="J17" s="11">
        <v>423634223</v>
      </c>
      <c r="K17" s="11"/>
      <c r="L17" s="11"/>
      <c r="M17" s="11">
        <v>1393106445</v>
      </c>
      <c r="N17" s="11">
        <v>3386490</v>
      </c>
      <c r="O17" s="11">
        <v>1510264445</v>
      </c>
      <c r="P17" s="11"/>
      <c r="Q17" s="11"/>
      <c r="R17" s="11">
        <v>1129138430</v>
      </c>
      <c r="S17" s="11">
        <v>26710875</v>
      </c>
      <c r="T17" s="11">
        <v>1253782424</v>
      </c>
      <c r="U17" s="11"/>
      <c r="V17" s="11"/>
    </row>
    <row r="18" spans="1:22" ht="21" customHeight="1" x14ac:dyDescent="0.25">
      <c r="A18" s="4">
        <v>9</v>
      </c>
      <c r="B18" s="5" t="s">
        <v>16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v>18090000</v>
      </c>
      <c r="N18" s="11"/>
      <c r="O18" s="11">
        <v>42940000</v>
      </c>
      <c r="P18" s="11"/>
      <c r="Q18" s="11"/>
      <c r="R18" s="11"/>
      <c r="S18" s="11"/>
      <c r="T18" s="11">
        <v>66996660</v>
      </c>
      <c r="U18" s="11"/>
      <c r="V18" s="11"/>
    </row>
    <row r="19" spans="1:22" ht="21" customHeight="1" x14ac:dyDescent="0.25">
      <c r="A19" s="4">
        <v>10</v>
      </c>
      <c r="B19" s="5" t="s">
        <v>24</v>
      </c>
      <c r="C19" s="11"/>
      <c r="D19" s="11"/>
      <c r="E19" s="11"/>
      <c r="F19" s="11"/>
      <c r="G19" s="11"/>
      <c r="H19" s="11">
        <v>2701320</v>
      </c>
      <c r="I19" s="11">
        <v>365520</v>
      </c>
      <c r="J19" s="11">
        <v>1059000</v>
      </c>
      <c r="K19" s="11"/>
      <c r="L19" s="11"/>
      <c r="M19" s="11">
        <v>57185400</v>
      </c>
      <c r="N19" s="11">
        <v>2231280</v>
      </c>
      <c r="O19" s="11">
        <v>42016276</v>
      </c>
      <c r="P19" s="11"/>
      <c r="Q19" s="11"/>
      <c r="R19" s="11">
        <v>56829710</v>
      </c>
      <c r="S19" s="11">
        <v>3662888</v>
      </c>
      <c r="T19" s="11">
        <v>11860000</v>
      </c>
      <c r="U19" s="11"/>
      <c r="V19" s="11"/>
    </row>
    <row r="20" spans="1:22" ht="21" customHeight="1" x14ac:dyDescent="0.25">
      <c r="A20" s="4">
        <v>11</v>
      </c>
      <c r="B20" s="5" t="s">
        <v>18</v>
      </c>
      <c r="C20" s="11"/>
      <c r="D20" s="11"/>
      <c r="E20" s="11"/>
      <c r="F20" s="11"/>
      <c r="G20" s="11"/>
      <c r="H20" s="11">
        <v>883070</v>
      </c>
      <c r="I20" s="11"/>
      <c r="J20" s="11">
        <v>455176</v>
      </c>
      <c r="K20" s="11"/>
      <c r="L20" s="11"/>
      <c r="M20" s="11">
        <v>52124439</v>
      </c>
      <c r="N20" s="11">
        <v>142230</v>
      </c>
      <c r="O20" s="11">
        <v>80869875</v>
      </c>
      <c r="P20" s="11"/>
      <c r="Q20" s="11"/>
      <c r="R20" s="11">
        <v>17554135</v>
      </c>
      <c r="S20" s="11">
        <v>220987</v>
      </c>
      <c r="T20" s="11">
        <v>16109976</v>
      </c>
      <c r="U20" s="11"/>
      <c r="V20" s="11"/>
    </row>
    <row r="21" spans="1:22" ht="21" customHeight="1" x14ac:dyDescent="0.25">
      <c r="A21" s="5"/>
      <c r="B21" s="7" t="s">
        <v>23</v>
      </c>
      <c r="C21" s="11">
        <f>SUM(C12:C20)</f>
        <v>7749855381</v>
      </c>
      <c r="D21" s="11">
        <f>SUM(D12:D20)</f>
        <v>46901929</v>
      </c>
      <c r="E21" s="11">
        <f t="shared" ref="E21:V21" si="0">SUM(E12:E20)</f>
        <v>6766017480</v>
      </c>
      <c r="F21" s="11">
        <f t="shared" si="0"/>
        <v>0</v>
      </c>
      <c r="G21" s="11">
        <f t="shared" si="0"/>
        <v>0</v>
      </c>
      <c r="H21" s="11">
        <f t="shared" si="0"/>
        <v>2219736511</v>
      </c>
      <c r="I21" s="11">
        <f t="shared" si="0"/>
        <v>41849603</v>
      </c>
      <c r="J21" s="11">
        <f t="shared" si="0"/>
        <v>2065385499</v>
      </c>
      <c r="K21" s="11">
        <f t="shared" si="0"/>
        <v>0</v>
      </c>
      <c r="L21" s="11">
        <f t="shared" si="0"/>
        <v>0</v>
      </c>
      <c r="M21" s="11">
        <f t="shared" si="0"/>
        <v>3197174384</v>
      </c>
      <c r="N21" s="11">
        <f t="shared" ref="N21" si="1">SUM(N12:N20)</f>
        <v>61795412</v>
      </c>
      <c r="O21" s="11">
        <f t="shared" ref="O21" si="2">SUM(O12:O20)</f>
        <v>4896239396</v>
      </c>
      <c r="P21" s="11">
        <f t="shared" ref="P21" si="3">SUM(P12:P20)</f>
        <v>0</v>
      </c>
      <c r="Q21" s="11">
        <f t="shared" ref="Q21" si="4">SUM(Q12:Q20)</f>
        <v>0</v>
      </c>
      <c r="R21" s="11">
        <f t="shared" ref="R21" si="5">SUM(R12:R20)</f>
        <v>3397174875</v>
      </c>
      <c r="S21" s="11">
        <f t="shared" ref="S21" si="6">SUM(S12:S20)</f>
        <v>106531159</v>
      </c>
      <c r="T21" s="11">
        <f t="shared" si="0"/>
        <v>4573590760</v>
      </c>
      <c r="U21" s="11"/>
      <c r="V21" s="11">
        <f t="shared" si="0"/>
        <v>0</v>
      </c>
    </row>
    <row r="22" spans="1:22" x14ac:dyDescent="0.25">
      <c r="D22" s="9"/>
      <c r="E22" s="9" t="s">
        <v>28</v>
      </c>
      <c r="F22" s="9" t="s">
        <v>27</v>
      </c>
      <c r="G22" s="9"/>
    </row>
    <row r="23" spans="1:22" x14ac:dyDescent="0.25">
      <c r="D23" s="9" t="s">
        <v>25</v>
      </c>
      <c r="E23" s="10">
        <f>E12+E13+E14+E15+J12+J13+J14+J16+O12+O13+O14+O16+T12+T13+T14+T16</f>
        <v>11764054400</v>
      </c>
      <c r="F23" s="9">
        <v>4463843300</v>
      </c>
      <c r="G23" s="10">
        <f>E23-F23</f>
        <v>7300211100</v>
      </c>
    </row>
    <row r="24" spans="1:22" x14ac:dyDescent="0.25">
      <c r="D24" s="9" t="s">
        <v>26</v>
      </c>
      <c r="E24" s="10">
        <f>C12+C13+C14+C15+H12+H13+H14+H16+M12+M13+M14+M16+R12+R13+R14+R16</f>
        <v>9230680300</v>
      </c>
      <c r="F24" s="9"/>
      <c r="G24" s="10">
        <f>E24</f>
        <v>9230680300</v>
      </c>
    </row>
    <row r="25" spans="1:22" x14ac:dyDescent="0.25">
      <c r="D25" s="9"/>
      <c r="E25" s="9"/>
      <c r="F25" s="9"/>
      <c r="G25" s="10">
        <f>G23-G24</f>
        <v>-1930469200</v>
      </c>
    </row>
  </sheetData>
  <mergeCells count="15">
    <mergeCell ref="R8:S8"/>
    <mergeCell ref="T8:U8"/>
    <mergeCell ref="A6:A9"/>
    <mergeCell ref="B6:B9"/>
    <mergeCell ref="C6:V6"/>
    <mergeCell ref="C8:D8"/>
    <mergeCell ref="E8:F8"/>
    <mergeCell ref="H8:I8"/>
    <mergeCell ref="J8:K8"/>
    <mergeCell ref="M8:N8"/>
    <mergeCell ref="O8:P8"/>
    <mergeCell ref="C7:G7"/>
    <mergeCell ref="H7:L7"/>
    <mergeCell ref="M7:Q7"/>
    <mergeCell ref="R7:V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40017_9 tháng đầu năm (2)</vt:lpstr>
      <vt:lpstr>Tháng 9</vt:lpstr>
      <vt:lpstr>40017_9 tháng đầu năm</vt:lpstr>
      <vt:lpstr>Trang_tính1 (4)</vt:lpstr>
      <vt:lpstr>Trang_tính1 (3)</vt:lpstr>
      <vt:lpstr>CL đã tính tỷ lệ CPTLở cac khoa</vt:lpstr>
      <vt:lpstr>Trang_tính1 (2)</vt:lpstr>
      <vt:lpstr>Trang_tính1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Đức</dc:creator>
  <cp:lastModifiedBy>LEHUUNGOC</cp:lastModifiedBy>
  <cp:lastPrinted>2018-01-12T10:11:21Z</cp:lastPrinted>
  <dcterms:created xsi:type="dcterms:W3CDTF">2018-01-11T02:50:40Z</dcterms:created>
  <dcterms:modified xsi:type="dcterms:W3CDTF">2020-10-27T04:15:24Z</dcterms:modified>
</cp:coreProperties>
</file>