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555" windowWidth="20115" windowHeight="7515" firstSheet="11" activeTab="17"/>
  </bookViews>
  <sheets>
    <sheet name="thay đổi PCCV huyện" sheetId="25" r:id="rId1"/>
    <sheet name="thay đổi PC xã" sheetId="4" r:id="rId2"/>
    <sheet name="GIẢM quỹ lương 19" sheetId="21" r:id="rId3"/>
    <sheet name="PV 116 lưu" sheetId="13" r:id="rId4"/>
    <sheet name="tăng PC thâm niên" sheetId="19" r:id="rId5"/>
    <sheet name="GIẢM quỹ lương 18" sheetId="16" r:id="rId6"/>
    <sheet name="PV châu bình" sheetId="1" r:id="rId7"/>
    <sheet name="vào vùng KTKK" sheetId="3" r:id="rId8"/>
    <sheet name="nâng lương ttyt" sheetId="5" r:id="rId9"/>
    <sheet name="NL trạm" sheetId="6" r:id="rId10"/>
    <sheet name="VKTr YT " sheetId="18" r:id="rId11"/>
    <sheet name="VKTTYT" sheetId="7" r:id="rId12"/>
    <sheet name="giảm thu hút" sheetId="8" r:id="rId13"/>
    <sheet name="bổ sung quỹ lương" sheetId="9" r:id="rId14"/>
    <sheet name="BSPC Châu Bình" sheetId="10" r:id="rId15"/>
    <sheet name="thăng hạng" sheetId="15" r:id="rId16"/>
    <sheet name="NL lãnh đạo" sheetId="20" r:id="rId17"/>
    <sheet name="phụ cấp khoa LS" sheetId="22" r:id="rId18"/>
    <sheet name="1490 huyện" sheetId="23" r:id="rId19"/>
    <sheet name="1490 xã" sheetId="24" r:id="rId20"/>
  </sheets>
  <definedNames>
    <definedName name="_xlnm.Print_Titles" localSheetId="18">'1490 huyện'!$6:$8</definedName>
    <definedName name="_xlnm.Print_Titles" localSheetId="19">'1490 xã'!$7:$10</definedName>
    <definedName name="_xlnm.Print_Titles" localSheetId="12">'giảm thu hút'!$5:$8</definedName>
    <definedName name="_xlnm.Print_Titles" localSheetId="9">'NL trạm'!$6:$7</definedName>
    <definedName name="_xlnm.Print_Titles" localSheetId="17">'phụ cấp khoa LS'!$3:$6</definedName>
    <definedName name="_xlnm.Print_Titles" localSheetId="4">'tăng PC thâm niên'!$6:$9</definedName>
  </definedNames>
  <calcPr calcId="125725"/>
</workbook>
</file>

<file path=xl/calcChain.xml><?xml version="1.0" encoding="utf-8"?>
<calcChain xmlns="http://schemas.openxmlformats.org/spreadsheetml/2006/main">
  <c r="Q15" i="22"/>
  <c r="T15" s="1"/>
  <c r="P15"/>
  <c r="R11" i="25" l="1"/>
  <c r="S11" s="1"/>
  <c r="R13"/>
  <c r="S13" s="1"/>
  <c r="R15"/>
  <c r="S15" s="1"/>
  <c r="R17"/>
  <c r="S17" s="1"/>
  <c r="R19"/>
  <c r="S19" s="1"/>
  <c r="R21"/>
  <c r="S21" s="1"/>
  <c r="R23"/>
  <c r="S23" s="1"/>
  <c r="R9"/>
  <c r="G24"/>
  <c r="G23"/>
  <c r="G17"/>
  <c r="J10"/>
  <c r="Q10" s="1"/>
  <c r="R10" s="1"/>
  <c r="S10" s="1"/>
  <c r="J11"/>
  <c r="Q11" s="1"/>
  <c r="J12"/>
  <c r="Q12" s="1"/>
  <c r="R12" s="1"/>
  <c r="S12" s="1"/>
  <c r="J13"/>
  <c r="Q13" s="1"/>
  <c r="J14"/>
  <c r="Q14" s="1"/>
  <c r="R14" s="1"/>
  <c r="S14" s="1"/>
  <c r="J15"/>
  <c r="Q15" s="1"/>
  <c r="J16"/>
  <c r="Q16" s="1"/>
  <c r="R16" s="1"/>
  <c r="S16" s="1"/>
  <c r="J17"/>
  <c r="Q17" s="1"/>
  <c r="J18"/>
  <c r="Q18" s="1"/>
  <c r="R18" s="1"/>
  <c r="S18" s="1"/>
  <c r="J19"/>
  <c r="Q19" s="1"/>
  <c r="J20"/>
  <c r="Q20" s="1"/>
  <c r="R20" s="1"/>
  <c r="S20" s="1"/>
  <c r="J21"/>
  <c r="Q21" s="1"/>
  <c r="J22"/>
  <c r="Q22" s="1"/>
  <c r="R22" s="1"/>
  <c r="S22" s="1"/>
  <c r="J23"/>
  <c r="Q23" s="1"/>
  <c r="J24"/>
  <c r="Q24" s="1"/>
  <c r="R24" s="1"/>
  <c r="S24" s="1"/>
  <c r="J9"/>
  <c r="Q9" s="1"/>
  <c r="V191" i="23"/>
  <c r="R191"/>
  <c r="U191" s="1"/>
  <c r="W191" s="1"/>
  <c r="X191" s="1"/>
  <c r="V188"/>
  <c r="R188"/>
  <c r="U188" s="1"/>
  <c r="W188" s="1"/>
  <c r="X188" s="1"/>
  <c r="K197"/>
  <c r="V197" s="1"/>
  <c r="K196"/>
  <c r="V196" s="1"/>
  <c r="K195"/>
  <c r="V195" s="1"/>
  <c r="K159"/>
  <c r="R159"/>
  <c r="U159" s="1"/>
  <c r="W159" s="1"/>
  <c r="X159" s="1"/>
  <c r="V159"/>
  <c r="K194"/>
  <c r="V194" s="1"/>
  <c r="V193"/>
  <c r="R193"/>
  <c r="U193" s="1"/>
  <c r="W193" s="1"/>
  <c r="X193" s="1"/>
  <c r="V192"/>
  <c r="R192"/>
  <c r="U192" s="1"/>
  <c r="W192" s="1"/>
  <c r="X192" s="1"/>
  <c r="V190"/>
  <c r="U190"/>
  <c r="W190" s="1"/>
  <c r="X190" s="1"/>
  <c r="K187"/>
  <c r="V187" s="1"/>
  <c r="V189"/>
  <c r="R189"/>
  <c r="U189" s="1"/>
  <c r="V186"/>
  <c r="R186"/>
  <c r="U186" s="1"/>
  <c r="V185"/>
  <c r="R185"/>
  <c r="U185" s="1"/>
  <c r="V184"/>
  <c r="R184"/>
  <c r="U184" s="1"/>
  <c r="R183"/>
  <c r="U183" s="1"/>
  <c r="W183" s="1"/>
  <c r="X183" s="1"/>
  <c r="V183"/>
  <c r="V182"/>
  <c r="R182"/>
  <c r="U182" s="1"/>
  <c r="I25" i="25"/>
  <c r="H25"/>
  <c r="J25"/>
  <c r="F117" i="23"/>
  <c r="J117"/>
  <c r="L117"/>
  <c r="M117"/>
  <c r="M163" s="1"/>
  <c r="N117"/>
  <c r="O117"/>
  <c r="P117"/>
  <c r="S117"/>
  <c r="T117"/>
  <c r="F162"/>
  <c r="F163" s="1"/>
  <c r="J162"/>
  <c r="L162"/>
  <c r="L163" s="1"/>
  <c r="M162"/>
  <c r="P162"/>
  <c r="P163" s="1"/>
  <c r="Q162"/>
  <c r="T162"/>
  <c r="T163" s="1"/>
  <c r="V135"/>
  <c r="R135"/>
  <c r="U135" s="1"/>
  <c r="R134"/>
  <c r="U134" s="1"/>
  <c r="R79"/>
  <c r="U79" s="1"/>
  <c r="V79"/>
  <c r="V68"/>
  <c r="R68"/>
  <c r="U68" s="1"/>
  <c r="W68" s="1"/>
  <c r="X68" s="1"/>
  <c r="V47"/>
  <c r="R47"/>
  <c r="U47" s="1"/>
  <c r="U24"/>
  <c r="V24"/>
  <c r="W24" s="1"/>
  <c r="X24" s="1"/>
  <c r="K64"/>
  <c r="V64" s="1"/>
  <c r="K35"/>
  <c r="R35" s="1"/>
  <c r="O37" i="24"/>
  <c r="M37"/>
  <c r="W37"/>
  <c r="W51"/>
  <c r="V134" i="23"/>
  <c r="R25" i="25" l="1"/>
  <c r="S9"/>
  <c r="W134" i="23"/>
  <c r="X134" s="1"/>
  <c r="W47"/>
  <c r="X47" s="1"/>
  <c r="W182"/>
  <c r="X182" s="1"/>
  <c r="W184"/>
  <c r="X184" s="1"/>
  <c r="W185"/>
  <c r="X185" s="1"/>
  <c r="W186"/>
  <c r="X186" s="1"/>
  <c r="W189"/>
  <c r="X189" s="1"/>
  <c r="R197"/>
  <c r="U197" s="1"/>
  <c r="W197" s="1"/>
  <c r="X197" s="1"/>
  <c r="R196"/>
  <c r="U196" s="1"/>
  <c r="W196" s="1"/>
  <c r="X196" s="1"/>
  <c r="R195"/>
  <c r="U195" s="1"/>
  <c r="W195" s="1"/>
  <c r="X195" s="1"/>
  <c r="R194"/>
  <c r="U194" s="1"/>
  <c r="W194" s="1"/>
  <c r="X194" s="1"/>
  <c r="R187"/>
  <c r="U187" s="1"/>
  <c r="W187" s="1"/>
  <c r="X187" s="1"/>
  <c r="W79"/>
  <c r="X79" s="1"/>
  <c r="W135"/>
  <c r="X135" s="1"/>
  <c r="V35"/>
  <c r="R64"/>
  <c r="U64" s="1"/>
  <c r="W64" s="1"/>
  <c r="X64" s="1"/>
  <c r="I11" i="18"/>
  <c r="U90" i="24"/>
  <c r="T90"/>
  <c r="Q90"/>
  <c r="K90"/>
  <c r="E90"/>
  <c r="W89"/>
  <c r="M89"/>
  <c r="V89" s="1"/>
  <c r="W88"/>
  <c r="M88"/>
  <c r="V88" s="1"/>
  <c r="W87"/>
  <c r="O87"/>
  <c r="M87"/>
  <c r="W86"/>
  <c r="O86"/>
  <c r="M86"/>
  <c r="W85"/>
  <c r="M85"/>
  <c r="V85" s="1"/>
  <c r="X85" s="1"/>
  <c r="Y85" s="1"/>
  <c r="W83"/>
  <c r="M83"/>
  <c r="V83" s="1"/>
  <c r="W82"/>
  <c r="M82"/>
  <c r="V82" s="1"/>
  <c r="X82" s="1"/>
  <c r="Y82" s="1"/>
  <c r="W81"/>
  <c r="M81"/>
  <c r="V81" s="1"/>
  <c r="W80"/>
  <c r="V80"/>
  <c r="X80" s="1"/>
  <c r="Y80" s="1"/>
  <c r="M80"/>
  <c r="W79"/>
  <c r="M79"/>
  <c r="V79" s="1"/>
  <c r="W77"/>
  <c r="M77"/>
  <c r="V77" s="1"/>
  <c r="W76"/>
  <c r="O76"/>
  <c r="M76"/>
  <c r="W75"/>
  <c r="M75"/>
  <c r="V75" s="1"/>
  <c r="J74"/>
  <c r="W73"/>
  <c r="O73"/>
  <c r="M73"/>
  <c r="V73" s="1"/>
  <c r="X73" s="1"/>
  <c r="Y73" s="1"/>
  <c r="W72"/>
  <c r="O72"/>
  <c r="M72"/>
  <c r="W70"/>
  <c r="M70"/>
  <c r="V70" s="1"/>
  <c r="W69"/>
  <c r="O69"/>
  <c r="M69"/>
  <c r="J68"/>
  <c r="W67"/>
  <c r="M67"/>
  <c r="V67" s="1"/>
  <c r="W66"/>
  <c r="M66"/>
  <c r="V66" s="1"/>
  <c r="W63"/>
  <c r="O63"/>
  <c r="M63"/>
  <c r="W62"/>
  <c r="M62"/>
  <c r="V62" s="1"/>
  <c r="W61"/>
  <c r="M61"/>
  <c r="V61" s="1"/>
  <c r="X61" s="1"/>
  <c r="Y61" s="1"/>
  <c r="W60"/>
  <c r="M60"/>
  <c r="V60" s="1"/>
  <c r="J59"/>
  <c r="W57"/>
  <c r="M57"/>
  <c r="V57" s="1"/>
  <c r="W56"/>
  <c r="M56"/>
  <c r="V56" s="1"/>
  <c r="W55"/>
  <c r="M55"/>
  <c r="V55" s="1"/>
  <c r="W54"/>
  <c r="M54"/>
  <c r="V54" s="1"/>
  <c r="W53"/>
  <c r="M53"/>
  <c r="V53" s="1"/>
  <c r="W50"/>
  <c r="M50"/>
  <c r="V50" s="1"/>
  <c r="W49"/>
  <c r="M49"/>
  <c r="V49" s="1"/>
  <c r="W48"/>
  <c r="M48"/>
  <c r="V48" s="1"/>
  <c r="W47"/>
  <c r="M47"/>
  <c r="V47" s="1"/>
  <c r="W45"/>
  <c r="O45"/>
  <c r="M45"/>
  <c r="W44"/>
  <c r="M44"/>
  <c r="V44" s="1"/>
  <c r="W43"/>
  <c r="O43"/>
  <c r="M43"/>
  <c r="W42"/>
  <c r="M42"/>
  <c r="V42" s="1"/>
  <c r="J41"/>
  <c r="M41" s="1"/>
  <c r="J39"/>
  <c r="W36"/>
  <c r="M36"/>
  <c r="V36" s="1"/>
  <c r="W35"/>
  <c r="M35"/>
  <c r="V35" s="1"/>
  <c r="W34"/>
  <c r="M34"/>
  <c r="V34" s="1"/>
  <c r="W33"/>
  <c r="O33"/>
  <c r="M33"/>
  <c r="W32"/>
  <c r="M32"/>
  <c r="V32" s="1"/>
  <c r="W30"/>
  <c r="O30"/>
  <c r="M30"/>
  <c r="W29"/>
  <c r="M29"/>
  <c r="V29" s="1"/>
  <c r="W28"/>
  <c r="O28"/>
  <c r="M28"/>
  <c r="W27"/>
  <c r="O27"/>
  <c r="M27"/>
  <c r="W26"/>
  <c r="O26"/>
  <c r="M26"/>
  <c r="W24"/>
  <c r="O24"/>
  <c r="M24"/>
  <c r="W23"/>
  <c r="M23"/>
  <c r="V23" s="1"/>
  <c r="W22"/>
  <c r="O22"/>
  <c r="M22"/>
  <c r="J21"/>
  <c r="W20"/>
  <c r="O20"/>
  <c r="M20"/>
  <c r="J19"/>
  <c r="M19" s="1"/>
  <c r="W17"/>
  <c r="O17"/>
  <c r="M17"/>
  <c r="W16"/>
  <c r="M16"/>
  <c r="V16" s="1"/>
  <c r="W15"/>
  <c r="M15"/>
  <c r="V15" s="1"/>
  <c r="W14"/>
  <c r="M14"/>
  <c r="V14" s="1"/>
  <c r="W13"/>
  <c r="M13"/>
  <c r="V13" s="1"/>
  <c r="W12"/>
  <c r="M12"/>
  <c r="K21" i="23"/>
  <c r="V161"/>
  <c r="R161"/>
  <c r="U161" s="1"/>
  <c r="V160"/>
  <c r="R160"/>
  <c r="U160" s="1"/>
  <c r="V158"/>
  <c r="R158"/>
  <c r="U158" s="1"/>
  <c r="V156"/>
  <c r="R156"/>
  <c r="U156" s="1"/>
  <c r="K155"/>
  <c r="V154"/>
  <c r="R154"/>
  <c r="U154" s="1"/>
  <c r="V153"/>
  <c r="R153"/>
  <c r="U153" s="1"/>
  <c r="V152"/>
  <c r="R152"/>
  <c r="U152" s="1"/>
  <c r="V151"/>
  <c r="R151"/>
  <c r="U151" s="1"/>
  <c r="V150"/>
  <c r="R150"/>
  <c r="U150" s="1"/>
  <c r="V149"/>
  <c r="R149"/>
  <c r="U149" s="1"/>
  <c r="V148"/>
  <c r="R148"/>
  <c r="U148" s="1"/>
  <c r="K147"/>
  <c r="V147" s="1"/>
  <c r="V145"/>
  <c r="R145"/>
  <c r="U145" s="1"/>
  <c r="V144"/>
  <c r="R144"/>
  <c r="U144" s="1"/>
  <c r="V143"/>
  <c r="R143"/>
  <c r="U143" s="1"/>
  <c r="V142"/>
  <c r="R142"/>
  <c r="U142" s="1"/>
  <c r="V141"/>
  <c r="R141"/>
  <c r="U141" s="1"/>
  <c r="K140"/>
  <c r="V140" s="1"/>
  <c r="V139"/>
  <c r="R139"/>
  <c r="U139" s="1"/>
  <c r="V138"/>
  <c r="R138"/>
  <c r="U138" s="1"/>
  <c r="V137"/>
  <c r="R137"/>
  <c r="U137" s="1"/>
  <c r="V133"/>
  <c r="R133"/>
  <c r="U133" s="1"/>
  <c r="K132"/>
  <c r="R132" s="1"/>
  <c r="K131"/>
  <c r="R131" s="1"/>
  <c r="K130"/>
  <c r="V129"/>
  <c r="R129"/>
  <c r="U129" s="1"/>
  <c r="V127"/>
  <c r="R127"/>
  <c r="U127" s="1"/>
  <c r="V126"/>
  <c r="R126"/>
  <c r="U126" s="1"/>
  <c r="V125"/>
  <c r="R125"/>
  <c r="U125" s="1"/>
  <c r="V124"/>
  <c r="R124"/>
  <c r="U124" s="1"/>
  <c r="V123"/>
  <c r="U123"/>
  <c r="V122"/>
  <c r="U122"/>
  <c r="V120"/>
  <c r="R120"/>
  <c r="V116"/>
  <c r="R116"/>
  <c r="U116" s="1"/>
  <c r="V115"/>
  <c r="R115"/>
  <c r="U115" s="1"/>
  <c r="V114"/>
  <c r="R114"/>
  <c r="U114" s="1"/>
  <c r="V113"/>
  <c r="R113"/>
  <c r="U113" s="1"/>
  <c r="V111"/>
  <c r="R111"/>
  <c r="U111" s="1"/>
  <c r="V110"/>
  <c r="R110"/>
  <c r="U110" s="1"/>
  <c r="V109"/>
  <c r="R109"/>
  <c r="U109" s="1"/>
  <c r="V108"/>
  <c r="R108"/>
  <c r="U108" s="1"/>
  <c r="V107"/>
  <c r="R107"/>
  <c r="U107" s="1"/>
  <c r="V106"/>
  <c r="R106"/>
  <c r="U106" s="1"/>
  <c r="V105"/>
  <c r="R105"/>
  <c r="U105" s="1"/>
  <c r="K103"/>
  <c r="R103" s="1"/>
  <c r="K102"/>
  <c r="R102" s="1"/>
  <c r="V101"/>
  <c r="R101"/>
  <c r="U101" s="1"/>
  <c r="V100"/>
  <c r="R100"/>
  <c r="U100" s="1"/>
  <c r="V99"/>
  <c r="R99"/>
  <c r="U99" s="1"/>
  <c r="K98"/>
  <c r="R98" s="1"/>
  <c r="V97"/>
  <c r="R97"/>
  <c r="U97" s="1"/>
  <c r="V96"/>
  <c r="R96"/>
  <c r="U96" s="1"/>
  <c r="K95"/>
  <c r="K93"/>
  <c r="R93" s="1"/>
  <c r="K92"/>
  <c r="R92" s="1"/>
  <c r="V91"/>
  <c r="R91"/>
  <c r="U91" s="1"/>
  <c r="V90"/>
  <c r="R90"/>
  <c r="U90" s="1"/>
  <c r="V89"/>
  <c r="R89"/>
  <c r="U89" s="1"/>
  <c r="V88"/>
  <c r="R88"/>
  <c r="U88" s="1"/>
  <c r="V87"/>
  <c r="R87"/>
  <c r="U87" s="1"/>
  <c r="V86"/>
  <c r="R86"/>
  <c r="U86" s="1"/>
  <c r="V85"/>
  <c r="R85"/>
  <c r="U85" s="1"/>
  <c r="V84"/>
  <c r="R84"/>
  <c r="U84" s="1"/>
  <c r="V83"/>
  <c r="R83"/>
  <c r="U83" s="1"/>
  <c r="V82"/>
  <c r="R82"/>
  <c r="U82" s="1"/>
  <c r="V80"/>
  <c r="R80"/>
  <c r="U80" s="1"/>
  <c r="V78"/>
  <c r="R78"/>
  <c r="U78" s="1"/>
  <c r="V77"/>
  <c r="R77"/>
  <c r="U77" s="1"/>
  <c r="V76"/>
  <c r="R76"/>
  <c r="U76" s="1"/>
  <c r="V75"/>
  <c r="R75"/>
  <c r="U75" s="1"/>
  <c r="V74"/>
  <c r="R74"/>
  <c r="U74" s="1"/>
  <c r="V73"/>
  <c r="R73"/>
  <c r="U73" s="1"/>
  <c r="K72"/>
  <c r="V72" s="1"/>
  <c r="V71"/>
  <c r="R71"/>
  <c r="U71" s="1"/>
  <c r="V69"/>
  <c r="R69"/>
  <c r="U69" s="1"/>
  <c r="V67"/>
  <c r="R67"/>
  <c r="U67" s="1"/>
  <c r="V66"/>
  <c r="R66"/>
  <c r="U66" s="1"/>
  <c r="K65"/>
  <c r="V63"/>
  <c r="R63"/>
  <c r="U63" s="1"/>
  <c r="V62"/>
  <c r="R62"/>
  <c r="U62" s="1"/>
  <c r="V61"/>
  <c r="R61"/>
  <c r="U61" s="1"/>
  <c r="V60"/>
  <c r="R60"/>
  <c r="U60" s="1"/>
  <c r="K59"/>
  <c r="V58"/>
  <c r="R58"/>
  <c r="U58" s="1"/>
  <c r="V57"/>
  <c r="R57"/>
  <c r="U57" s="1"/>
  <c r="V56"/>
  <c r="R56"/>
  <c r="U56" s="1"/>
  <c r="K55"/>
  <c r="V55" s="1"/>
  <c r="V54"/>
  <c r="R54"/>
  <c r="U54" s="1"/>
  <c r="V53"/>
  <c r="R53"/>
  <c r="U53" s="1"/>
  <c r="V52"/>
  <c r="R52"/>
  <c r="U52" s="1"/>
  <c r="V51"/>
  <c r="R51"/>
  <c r="U51" s="1"/>
  <c r="V50"/>
  <c r="R50"/>
  <c r="U50" s="1"/>
  <c r="V48"/>
  <c r="R48"/>
  <c r="U48" s="1"/>
  <c r="V46"/>
  <c r="R46"/>
  <c r="U46" s="1"/>
  <c r="V45"/>
  <c r="R45"/>
  <c r="U45" s="1"/>
  <c r="V44"/>
  <c r="R44"/>
  <c r="U44" s="1"/>
  <c r="V43"/>
  <c r="R43"/>
  <c r="U43" s="1"/>
  <c r="V42"/>
  <c r="R42"/>
  <c r="U42" s="1"/>
  <c r="V41"/>
  <c r="R41"/>
  <c r="U41" s="1"/>
  <c r="V40"/>
  <c r="R40"/>
  <c r="U40" s="1"/>
  <c r="V39"/>
  <c r="R39"/>
  <c r="U39" s="1"/>
  <c r="V38"/>
  <c r="R38"/>
  <c r="U38" s="1"/>
  <c r="K37"/>
  <c r="K36"/>
  <c r="V34"/>
  <c r="R34"/>
  <c r="U34" s="1"/>
  <c r="V32"/>
  <c r="R32"/>
  <c r="U32" s="1"/>
  <c r="V31"/>
  <c r="R31"/>
  <c r="U31" s="1"/>
  <c r="V30"/>
  <c r="V29"/>
  <c r="U29"/>
  <c r="V28"/>
  <c r="R28"/>
  <c r="U28" s="1"/>
  <c r="V27"/>
  <c r="R27"/>
  <c r="U27" s="1"/>
  <c r="K26"/>
  <c r="V23"/>
  <c r="R23"/>
  <c r="U23" s="1"/>
  <c r="V22"/>
  <c r="R22"/>
  <c r="U22" s="1"/>
  <c r="V19"/>
  <c r="U19"/>
  <c r="V18"/>
  <c r="U18"/>
  <c r="V17"/>
  <c r="U17"/>
  <c r="V16"/>
  <c r="U16"/>
  <c r="V15"/>
  <c r="U15"/>
  <c r="V13"/>
  <c r="R13"/>
  <c r="U13" s="1"/>
  <c r="V12"/>
  <c r="R12"/>
  <c r="U12" s="1"/>
  <c r="V11"/>
  <c r="R11"/>
  <c r="U120" l="1"/>
  <c r="R130"/>
  <c r="K162"/>
  <c r="K117"/>
  <c r="U11"/>
  <c r="R21"/>
  <c r="R117" s="1"/>
  <c r="V21"/>
  <c r="X13" i="24"/>
  <c r="Y13" s="1"/>
  <c r="X15"/>
  <c r="Y15" s="1"/>
  <c r="X32"/>
  <c r="Y32" s="1"/>
  <c r="X23"/>
  <c r="Y23" s="1"/>
  <c r="X36"/>
  <c r="Y36" s="1"/>
  <c r="X42"/>
  <c r="Y42" s="1"/>
  <c r="X49"/>
  <c r="Y49" s="1"/>
  <c r="X47"/>
  <c r="Y47" s="1"/>
  <c r="X66"/>
  <c r="Y66" s="1"/>
  <c r="X16"/>
  <c r="Y16" s="1"/>
  <c r="V17"/>
  <c r="X17" s="1"/>
  <c r="Y17" s="1"/>
  <c r="V20"/>
  <c r="X20" s="1"/>
  <c r="Y20" s="1"/>
  <c r="V22"/>
  <c r="X22" s="1"/>
  <c r="Y22" s="1"/>
  <c r="V24"/>
  <c r="X24" s="1"/>
  <c r="Y24" s="1"/>
  <c r="V27"/>
  <c r="X27" s="1"/>
  <c r="Y27" s="1"/>
  <c r="X29"/>
  <c r="Y29" s="1"/>
  <c r="X34"/>
  <c r="Y34" s="1"/>
  <c r="X53"/>
  <c r="Y53" s="1"/>
  <c r="X55"/>
  <c r="Y55" s="1"/>
  <c r="X62"/>
  <c r="Y62" s="1"/>
  <c r="X70"/>
  <c r="Y70" s="1"/>
  <c r="X77"/>
  <c r="Y77" s="1"/>
  <c r="V86"/>
  <c r="X86" s="1"/>
  <c r="Y86" s="1"/>
  <c r="X89"/>
  <c r="Y89" s="1"/>
  <c r="X57"/>
  <c r="Y57" s="1"/>
  <c r="X14"/>
  <c r="Y14" s="1"/>
  <c r="V26"/>
  <c r="X26" s="1"/>
  <c r="Y26" s="1"/>
  <c r="V28"/>
  <c r="X28" s="1"/>
  <c r="Y28" s="1"/>
  <c r="V30"/>
  <c r="X30" s="1"/>
  <c r="Y30" s="1"/>
  <c r="V41"/>
  <c r="W41"/>
  <c r="V43"/>
  <c r="X43" s="1"/>
  <c r="Y43" s="1"/>
  <c r="W68"/>
  <c r="V76"/>
  <c r="X76" s="1"/>
  <c r="Y76" s="1"/>
  <c r="X79"/>
  <c r="Y79" s="1"/>
  <c r="X83"/>
  <c r="Y83" s="1"/>
  <c r="V87"/>
  <c r="X87" s="1"/>
  <c r="Y87" s="1"/>
  <c r="V45"/>
  <c r="X45" s="1"/>
  <c r="Y45" s="1"/>
  <c r="X48"/>
  <c r="Y48" s="1"/>
  <c r="X54"/>
  <c r="Y54" s="1"/>
  <c r="M68"/>
  <c r="V68" s="1"/>
  <c r="X68" s="1"/>
  <c r="Y68" s="1"/>
  <c r="V69"/>
  <c r="X69" s="1"/>
  <c r="Y69" s="1"/>
  <c r="V72"/>
  <c r="X72" s="1"/>
  <c r="Y72" s="1"/>
  <c r="O21"/>
  <c r="W21"/>
  <c r="M39"/>
  <c r="W39"/>
  <c r="W59"/>
  <c r="M59"/>
  <c r="W74"/>
  <c r="M74"/>
  <c r="V12"/>
  <c r="J90"/>
  <c r="O19"/>
  <c r="W19"/>
  <c r="M21"/>
  <c r="V21" s="1"/>
  <c r="V33"/>
  <c r="X33" s="1"/>
  <c r="Y33" s="1"/>
  <c r="X35"/>
  <c r="Y35" s="1"/>
  <c r="O39"/>
  <c r="X44"/>
  <c r="Y44" s="1"/>
  <c r="X50"/>
  <c r="Y50" s="1"/>
  <c r="X56"/>
  <c r="Y56" s="1"/>
  <c r="V59"/>
  <c r="X60"/>
  <c r="Y60" s="1"/>
  <c r="V63"/>
  <c r="X63" s="1"/>
  <c r="Y63" s="1"/>
  <c r="X67"/>
  <c r="Y67" s="1"/>
  <c r="V74"/>
  <c r="X75"/>
  <c r="Y75" s="1"/>
  <c r="X81"/>
  <c r="Y81" s="1"/>
  <c r="X88"/>
  <c r="Y88" s="1"/>
  <c r="W84" i="23"/>
  <c r="X84" s="1"/>
  <c r="W133"/>
  <c r="X133" s="1"/>
  <c r="W144"/>
  <c r="X144" s="1"/>
  <c r="W137"/>
  <c r="X137" s="1"/>
  <c r="W15"/>
  <c r="X15" s="1"/>
  <c r="W16"/>
  <c r="X16" s="1"/>
  <c r="W17"/>
  <c r="X17" s="1"/>
  <c r="W18"/>
  <c r="X18" s="1"/>
  <c r="W19"/>
  <c r="X19" s="1"/>
  <c r="W22"/>
  <c r="X22" s="1"/>
  <c r="W52"/>
  <c r="X52" s="1"/>
  <c r="W53"/>
  <c r="X53" s="1"/>
  <c r="W63"/>
  <c r="X63" s="1"/>
  <c r="W114"/>
  <c r="X114" s="1"/>
  <c r="W120"/>
  <c r="W138"/>
  <c r="X138" s="1"/>
  <c r="W139"/>
  <c r="X139" s="1"/>
  <c r="W145"/>
  <c r="X145" s="1"/>
  <c r="W148"/>
  <c r="X148" s="1"/>
  <c r="W149"/>
  <c r="X149" s="1"/>
  <c r="W150"/>
  <c r="X150" s="1"/>
  <c r="W151"/>
  <c r="X151" s="1"/>
  <c r="W152"/>
  <c r="X152" s="1"/>
  <c r="W45"/>
  <c r="X45" s="1"/>
  <c r="W46"/>
  <c r="X46" s="1"/>
  <c r="W48"/>
  <c r="X48" s="1"/>
  <c r="W56"/>
  <c r="X56" s="1"/>
  <c r="W54"/>
  <c r="X54" s="1"/>
  <c r="W58"/>
  <c r="X58" s="1"/>
  <c r="W67"/>
  <c r="X67" s="1"/>
  <c r="W73"/>
  <c r="X73" s="1"/>
  <c r="W77"/>
  <c r="X77" s="1"/>
  <c r="W97"/>
  <c r="X97" s="1"/>
  <c r="W106"/>
  <c r="X106" s="1"/>
  <c r="W124"/>
  <c r="X124" s="1"/>
  <c r="W31"/>
  <c r="X31" s="1"/>
  <c r="W38"/>
  <c r="X38" s="1"/>
  <c r="W39"/>
  <c r="X39" s="1"/>
  <c r="W41"/>
  <c r="X41" s="1"/>
  <c r="W78"/>
  <c r="X78" s="1"/>
  <c r="W80"/>
  <c r="X80" s="1"/>
  <c r="W85"/>
  <c r="X85" s="1"/>
  <c r="W86"/>
  <c r="X86" s="1"/>
  <c r="W88"/>
  <c r="X88" s="1"/>
  <c r="W99"/>
  <c r="X99" s="1"/>
  <c r="W107"/>
  <c r="X107" s="1"/>
  <c r="W108"/>
  <c r="X108" s="1"/>
  <c r="W110"/>
  <c r="X110" s="1"/>
  <c r="W125"/>
  <c r="X125" s="1"/>
  <c r="W126"/>
  <c r="X126" s="1"/>
  <c r="W12"/>
  <c r="X12" s="1"/>
  <c r="W13"/>
  <c r="X13" s="1"/>
  <c r="W23"/>
  <c r="X23" s="1"/>
  <c r="W27"/>
  <c r="X27" s="1"/>
  <c r="W28"/>
  <c r="X28" s="1"/>
  <c r="W34"/>
  <c r="X34" s="1"/>
  <c r="W42"/>
  <c r="X42" s="1"/>
  <c r="W43"/>
  <c r="X43" s="1"/>
  <c r="W50"/>
  <c r="X50" s="1"/>
  <c r="W61"/>
  <c r="X61" s="1"/>
  <c r="W71"/>
  <c r="X71" s="1"/>
  <c r="W75"/>
  <c r="X75" s="1"/>
  <c r="W82"/>
  <c r="X82" s="1"/>
  <c r="W89"/>
  <c r="X89" s="1"/>
  <c r="W90"/>
  <c r="X90" s="1"/>
  <c r="W100"/>
  <c r="X100" s="1"/>
  <c r="W111"/>
  <c r="X111" s="1"/>
  <c r="W115"/>
  <c r="X115" s="1"/>
  <c r="W116"/>
  <c r="X116" s="1"/>
  <c r="W129"/>
  <c r="X129" s="1"/>
  <c r="W141"/>
  <c r="X141" s="1"/>
  <c r="W142"/>
  <c r="X142" s="1"/>
  <c r="W156"/>
  <c r="X156" s="1"/>
  <c r="W160"/>
  <c r="X160" s="1"/>
  <c r="W161"/>
  <c r="X161" s="1"/>
  <c r="W29"/>
  <c r="X29" s="1"/>
  <c r="W32"/>
  <c r="X32" s="1"/>
  <c r="W40"/>
  <c r="X40" s="1"/>
  <c r="W44"/>
  <c r="X44" s="1"/>
  <c r="W51"/>
  <c r="X51" s="1"/>
  <c r="R55"/>
  <c r="U55" s="1"/>
  <c r="W55" s="1"/>
  <c r="X55" s="1"/>
  <c r="W62"/>
  <c r="X62" s="1"/>
  <c r="W69"/>
  <c r="X69" s="1"/>
  <c r="R72"/>
  <c r="U72" s="1"/>
  <c r="W72" s="1"/>
  <c r="X72" s="1"/>
  <c r="W76"/>
  <c r="X76" s="1"/>
  <c r="W83"/>
  <c r="X83" s="1"/>
  <c r="W87"/>
  <c r="X87" s="1"/>
  <c r="W91"/>
  <c r="X91" s="1"/>
  <c r="U92"/>
  <c r="V92"/>
  <c r="W96"/>
  <c r="X96" s="1"/>
  <c r="U103"/>
  <c r="V103"/>
  <c r="W113"/>
  <c r="X113" s="1"/>
  <c r="W122"/>
  <c r="X122" s="1"/>
  <c r="W123"/>
  <c r="X123" s="1"/>
  <c r="W127"/>
  <c r="X127" s="1"/>
  <c r="U131"/>
  <c r="V131"/>
  <c r="W143"/>
  <c r="X143" s="1"/>
  <c r="U93"/>
  <c r="V93"/>
  <c r="U98"/>
  <c r="V98"/>
  <c r="U102"/>
  <c r="V102"/>
  <c r="U130"/>
  <c r="V130"/>
  <c r="V162" s="1"/>
  <c r="U132"/>
  <c r="V132"/>
  <c r="W153"/>
  <c r="X153" s="1"/>
  <c r="W154"/>
  <c r="X154" s="1"/>
  <c r="W158"/>
  <c r="X158" s="1"/>
  <c r="U21"/>
  <c r="R26"/>
  <c r="U26" s="1"/>
  <c r="V26"/>
  <c r="U35"/>
  <c r="W35" s="1"/>
  <c r="R36"/>
  <c r="U36" s="1"/>
  <c r="V36"/>
  <c r="R37"/>
  <c r="U37" s="1"/>
  <c r="V37"/>
  <c r="W57"/>
  <c r="X57" s="1"/>
  <c r="W60"/>
  <c r="X60" s="1"/>
  <c r="W66"/>
  <c r="X66" s="1"/>
  <c r="W74"/>
  <c r="X74" s="1"/>
  <c r="W11"/>
  <c r="V59"/>
  <c r="R59"/>
  <c r="U59" s="1"/>
  <c r="V65"/>
  <c r="R65"/>
  <c r="U65" s="1"/>
  <c r="R95"/>
  <c r="U95" s="1"/>
  <c r="V95"/>
  <c r="W101"/>
  <c r="X101" s="1"/>
  <c r="W105"/>
  <c r="X105" s="1"/>
  <c r="W109"/>
  <c r="X109" s="1"/>
  <c r="R155"/>
  <c r="U155" s="1"/>
  <c r="V155"/>
  <c r="R140"/>
  <c r="U140" s="1"/>
  <c r="W140" s="1"/>
  <c r="X140" s="1"/>
  <c r="R147"/>
  <c r="U147" s="1"/>
  <c r="W147" s="1"/>
  <c r="X147" s="1"/>
  <c r="V117" l="1"/>
  <c r="V163" s="1"/>
  <c r="X120"/>
  <c r="U162"/>
  <c r="U117"/>
  <c r="K163"/>
  <c r="R162"/>
  <c r="R163" s="1"/>
  <c r="Q25" i="25"/>
  <c r="S25"/>
  <c r="W21" i="23"/>
  <c r="X21" s="1"/>
  <c r="X74" i="24"/>
  <c r="Y74" s="1"/>
  <c r="X59"/>
  <c r="Y59" s="1"/>
  <c r="W90"/>
  <c r="X21"/>
  <c r="Y21" s="1"/>
  <c r="O90"/>
  <c r="V39"/>
  <c r="X39" s="1"/>
  <c r="Y39" s="1"/>
  <c r="X41"/>
  <c r="Y41" s="1"/>
  <c r="M90"/>
  <c r="V19"/>
  <c r="X19" s="1"/>
  <c r="Y19" s="1"/>
  <c r="X12"/>
  <c r="W132" i="23"/>
  <c r="X132" s="1"/>
  <c r="W130"/>
  <c r="X130" s="1"/>
  <c r="W102"/>
  <c r="X102" s="1"/>
  <c r="W65"/>
  <c r="X65" s="1"/>
  <c r="W59"/>
  <c r="X59" s="1"/>
  <c r="W98"/>
  <c r="X98" s="1"/>
  <c r="W93"/>
  <c r="X93" s="1"/>
  <c r="W95"/>
  <c r="X95" s="1"/>
  <c r="W92"/>
  <c r="X92" s="1"/>
  <c r="W37"/>
  <c r="X37" s="1"/>
  <c r="W36"/>
  <c r="X36" s="1"/>
  <c r="X35"/>
  <c r="W131"/>
  <c r="X131" s="1"/>
  <c r="W103"/>
  <c r="X103" s="1"/>
  <c r="W26"/>
  <c r="X26" s="1"/>
  <c r="X11"/>
  <c r="W155"/>
  <c r="X155" s="1"/>
  <c r="X117" l="1"/>
  <c r="W117"/>
  <c r="W162"/>
  <c r="W163" s="1"/>
  <c r="U163"/>
  <c r="X162"/>
  <c r="X163" s="1"/>
  <c r="V90" i="24"/>
  <c r="X90"/>
  <c r="Y12"/>
  <c r="Y90" s="1"/>
  <c r="Q22" i="4" l="1"/>
  <c r="V22"/>
  <c r="E22"/>
  <c r="R10" i="9" l="1"/>
  <c r="Q11" i="8"/>
  <c r="Q12"/>
  <c r="Q13"/>
  <c r="Q14"/>
  <c r="Q15"/>
  <c r="Q16"/>
  <c r="Q17"/>
  <c r="Q18"/>
  <c r="Q19"/>
  <c r="Q20"/>
  <c r="Q21"/>
  <c r="Q22"/>
  <c r="Q23"/>
  <c r="Q24"/>
  <c r="Q25"/>
  <c r="Q26"/>
  <c r="Q27"/>
  <c r="J27"/>
  <c r="I27"/>
  <c r="M9" i="5"/>
  <c r="M10"/>
  <c r="M11"/>
  <c r="M12"/>
  <c r="M13"/>
  <c r="M14"/>
  <c r="M15"/>
  <c r="M16"/>
  <c r="M17"/>
  <c r="M18"/>
  <c r="M19"/>
  <c r="M20"/>
  <c r="M21"/>
  <c r="M22"/>
  <c r="O12" i="1"/>
  <c r="O13"/>
  <c r="O14"/>
  <c r="O11"/>
  <c r="E48" i="22" l="1"/>
  <c r="H48"/>
  <c r="I48"/>
  <c r="K48"/>
  <c r="L48"/>
  <c r="R48"/>
  <c r="S48"/>
  <c r="J34"/>
  <c r="P32"/>
  <c r="P34"/>
  <c r="M34"/>
  <c r="M10"/>
  <c r="T10" s="1"/>
  <c r="M11"/>
  <c r="M13"/>
  <c r="T13" s="1"/>
  <c r="M14"/>
  <c r="T14" s="1"/>
  <c r="M16"/>
  <c r="T16" s="1"/>
  <c r="M17"/>
  <c r="M18"/>
  <c r="T18" s="1"/>
  <c r="M19"/>
  <c r="T19" s="1"/>
  <c r="M20"/>
  <c r="M21"/>
  <c r="M22"/>
  <c r="T22" s="1"/>
  <c r="M23"/>
  <c r="T23" s="1"/>
  <c r="M24"/>
  <c r="M25"/>
  <c r="M26"/>
  <c r="M27"/>
  <c r="M28"/>
  <c r="T28" s="1"/>
  <c r="M29"/>
  <c r="T29" s="1"/>
  <c r="M30"/>
  <c r="T30" s="1"/>
  <c r="M31"/>
  <c r="T31" s="1"/>
  <c r="M32"/>
  <c r="T32" s="1"/>
  <c r="M33"/>
  <c r="M35"/>
  <c r="T35" s="1"/>
  <c r="M36"/>
  <c r="T36" s="1"/>
  <c r="M37"/>
  <c r="T37" s="1"/>
  <c r="M38"/>
  <c r="M39"/>
  <c r="M40"/>
  <c r="T40" s="1"/>
  <c r="M41"/>
  <c r="M42"/>
  <c r="T42" s="1"/>
  <c r="M9"/>
  <c r="T9" s="1"/>
  <c r="M8"/>
  <c r="T8" s="1"/>
  <c r="J11"/>
  <c r="J48" s="1"/>
  <c r="J17"/>
  <c r="T17" s="1"/>
  <c r="J20"/>
  <c r="T20" s="1"/>
  <c r="J24"/>
  <c r="J27"/>
  <c r="T27" s="1"/>
  <c r="J33"/>
  <c r="T33" s="1"/>
  <c r="J38"/>
  <c r="J39"/>
  <c r="T39" s="1"/>
  <c r="J41"/>
  <c r="T41" s="1"/>
  <c r="J46"/>
  <c r="P9"/>
  <c r="P10"/>
  <c r="P11"/>
  <c r="P13"/>
  <c r="P14"/>
  <c r="P16"/>
  <c r="Q16" s="1"/>
  <c r="P17"/>
  <c r="P18"/>
  <c r="Q18" s="1"/>
  <c r="P19"/>
  <c r="P20"/>
  <c r="Q20" s="1"/>
  <c r="P21"/>
  <c r="P23"/>
  <c r="P24"/>
  <c r="P25"/>
  <c r="P26"/>
  <c r="P27"/>
  <c r="P28"/>
  <c r="P29"/>
  <c r="Q29" s="1"/>
  <c r="P30"/>
  <c r="P31"/>
  <c r="P33"/>
  <c r="Q33" s="1"/>
  <c r="P35"/>
  <c r="P36"/>
  <c r="Q36" s="1"/>
  <c r="P37"/>
  <c r="P38"/>
  <c r="P39"/>
  <c r="P40"/>
  <c r="P41"/>
  <c r="P42"/>
  <c r="Q42" s="1"/>
  <c r="P43"/>
  <c r="Q43" s="1"/>
  <c r="P44"/>
  <c r="Q44" s="1"/>
  <c r="P45"/>
  <c r="Q45" s="1"/>
  <c r="P46"/>
  <c r="Q46" s="1"/>
  <c r="P8"/>
  <c r="Q8" s="1"/>
  <c r="Q47"/>
  <c r="T47" s="1"/>
  <c r="G46"/>
  <c r="T46" s="1"/>
  <c r="G43"/>
  <c r="T43" s="1"/>
  <c r="Q41"/>
  <c r="Q39"/>
  <c r="Q37"/>
  <c r="Q35"/>
  <c r="Q28"/>
  <c r="Q27"/>
  <c r="Q26"/>
  <c r="G26"/>
  <c r="T26" s="1"/>
  <c r="Q25"/>
  <c r="G25"/>
  <c r="T25" s="1"/>
  <c r="Q23"/>
  <c r="Q21"/>
  <c r="G21"/>
  <c r="G48" s="1"/>
  <c r="Q19"/>
  <c r="Q17"/>
  <c r="Q14"/>
  <c r="T44" l="1"/>
  <c r="T21"/>
  <c r="T11"/>
  <c r="M48"/>
  <c r="T45"/>
  <c r="P48"/>
  <c r="Q34"/>
  <c r="T34" s="1"/>
  <c r="Q24"/>
  <c r="T24" s="1"/>
  <c r="Q38"/>
  <c r="T38" s="1"/>
  <c r="S16" i="9"/>
  <c r="G13" i="4"/>
  <c r="T48" i="22" l="1"/>
  <c r="Q48"/>
  <c r="E11" i="21"/>
  <c r="I11"/>
  <c r="J11"/>
  <c r="K11"/>
  <c r="N11"/>
  <c r="Q11"/>
  <c r="R11"/>
  <c r="S11"/>
  <c r="R10"/>
  <c r="K10"/>
  <c r="Q10" s="1"/>
  <c r="S10" s="1"/>
  <c r="V12" i="16"/>
  <c r="E12"/>
  <c r="F12"/>
  <c r="H12"/>
  <c r="I12"/>
  <c r="J12"/>
  <c r="N12"/>
  <c r="O12"/>
  <c r="E14" i="3"/>
  <c r="F14"/>
  <c r="I14"/>
  <c r="L14"/>
  <c r="N14"/>
  <c r="N12"/>
  <c r="N13"/>
  <c r="I12"/>
  <c r="I13"/>
  <c r="I11"/>
  <c r="I7" i="20"/>
  <c r="N7" l="1"/>
  <c r="P7" s="1"/>
  <c r="M7"/>
  <c r="O7" l="1"/>
  <c r="Q7" s="1"/>
  <c r="N12" i="19" l="1"/>
  <c r="N14"/>
  <c r="N15"/>
  <c r="N17"/>
  <c r="N18"/>
  <c r="N19"/>
  <c r="N20"/>
  <c r="N22"/>
  <c r="N23"/>
  <c r="N25"/>
  <c r="N27"/>
  <c r="N28"/>
  <c r="N29"/>
  <c r="N30"/>
  <c r="N31"/>
  <c r="N32"/>
  <c r="N34"/>
  <c r="N35"/>
  <c r="N36"/>
  <c r="N37"/>
  <c r="N39"/>
  <c r="N40"/>
  <c r="N11"/>
  <c r="N41" l="1"/>
  <c r="I10" i="7"/>
  <c r="E10"/>
  <c r="P10"/>
  <c r="P8"/>
  <c r="P9"/>
  <c r="P7"/>
  <c r="O10"/>
  <c r="O8"/>
  <c r="O9"/>
  <c r="O7"/>
  <c r="L10"/>
  <c r="L8"/>
  <c r="L9"/>
  <c r="L7"/>
  <c r="I9"/>
  <c r="I8"/>
  <c r="I7"/>
  <c r="O12" i="18"/>
  <c r="O10"/>
  <c r="O8"/>
  <c r="L10"/>
  <c r="L8"/>
  <c r="I10"/>
  <c r="I8"/>
  <c r="I12" s="1"/>
  <c r="E12"/>
  <c r="F12"/>
  <c r="H12"/>
  <c r="P12"/>
  <c r="Q12" i="6" l="1"/>
  <c r="M12"/>
  <c r="L11" i="3"/>
  <c r="G15" i="1"/>
  <c r="R11" i="16"/>
  <c r="S11"/>
  <c r="K11"/>
  <c r="Q11" s="1"/>
  <c r="R10"/>
  <c r="R12" s="1"/>
  <c r="G10"/>
  <c r="G12" s="1"/>
  <c r="N11" i="3" l="1"/>
  <c r="R12" i="6"/>
  <c r="K10" i="16"/>
  <c r="S11" i="9"/>
  <c r="S12"/>
  <c r="S14"/>
  <c r="S15"/>
  <c r="S17"/>
  <c r="S18"/>
  <c r="S10"/>
  <c r="R20"/>
  <c r="R11"/>
  <c r="R12"/>
  <c r="R13"/>
  <c r="R14"/>
  <c r="R15"/>
  <c r="R16"/>
  <c r="R17"/>
  <c r="R18"/>
  <c r="R19"/>
  <c r="R34" i="16"/>
  <c r="K34"/>
  <c r="Q34" s="1"/>
  <c r="K12" l="1"/>
  <c r="Q10"/>
  <c r="S34"/>
  <c r="S26" i="8"/>
  <c r="S12"/>
  <c r="S14"/>
  <c r="S15"/>
  <c r="S16"/>
  <c r="S17"/>
  <c r="S18"/>
  <c r="S21"/>
  <c r="S22"/>
  <c r="S24"/>
  <c r="H11"/>
  <c r="S11" s="1"/>
  <c r="H20"/>
  <c r="S20" s="1"/>
  <c r="H10"/>
  <c r="Q10" s="1"/>
  <c r="Q12" i="16" l="1"/>
  <c r="S10"/>
  <c r="S12" s="1"/>
  <c r="M19" i="9"/>
  <c r="E23" i="5" l="1"/>
  <c r="G23"/>
  <c r="P23"/>
  <c r="I17"/>
  <c r="O17" s="1"/>
  <c r="I18"/>
  <c r="O18" s="1"/>
  <c r="I19"/>
  <c r="O19" s="1"/>
  <c r="I20"/>
  <c r="O20" s="1"/>
  <c r="I21"/>
  <c r="O21" s="1"/>
  <c r="I22"/>
  <c r="O22" s="1"/>
  <c r="I9"/>
  <c r="O9" s="1"/>
  <c r="I10"/>
  <c r="I11"/>
  <c r="O11" s="1"/>
  <c r="I12"/>
  <c r="I13"/>
  <c r="O13" s="1"/>
  <c r="I14"/>
  <c r="I16"/>
  <c r="O16" s="1"/>
  <c r="I8"/>
  <c r="O8" s="1"/>
  <c r="Q11" i="6"/>
  <c r="Q25"/>
  <c r="O25"/>
  <c r="M11"/>
  <c r="M25"/>
  <c r="I14"/>
  <c r="Q14" s="1"/>
  <c r="I15"/>
  <c r="M15" s="1"/>
  <c r="I16"/>
  <c r="Q16" s="1"/>
  <c r="I17"/>
  <c r="M17" s="1"/>
  <c r="I19"/>
  <c r="Q19" s="1"/>
  <c r="I21"/>
  <c r="M21" s="1"/>
  <c r="I22"/>
  <c r="Q22" s="1"/>
  <c r="I24"/>
  <c r="M24" s="1"/>
  <c r="I27"/>
  <c r="Q27" s="1"/>
  <c r="I28"/>
  <c r="Q28" s="1"/>
  <c r="I29"/>
  <c r="Q29" s="1"/>
  <c r="I31"/>
  <c r="Q31" s="1"/>
  <c r="I32"/>
  <c r="Q32" s="1"/>
  <c r="I34"/>
  <c r="Q34" s="1"/>
  <c r="I35"/>
  <c r="Q35" s="1"/>
  <c r="I36"/>
  <c r="Q36" s="1"/>
  <c r="I38"/>
  <c r="O38" s="1"/>
  <c r="I39"/>
  <c r="Q39" s="1"/>
  <c r="I41"/>
  <c r="Q41" s="1"/>
  <c r="I9"/>
  <c r="Q9" s="1"/>
  <c r="E42"/>
  <c r="F27" i="8"/>
  <c r="R11" i="6" l="1"/>
  <c r="R25"/>
  <c r="I42"/>
  <c r="M41"/>
  <c r="R41" s="1"/>
  <c r="M38"/>
  <c r="M35"/>
  <c r="R35" s="1"/>
  <c r="M32"/>
  <c r="R32" s="1"/>
  <c r="M29"/>
  <c r="R29" s="1"/>
  <c r="M27"/>
  <c r="R27" s="1"/>
  <c r="M22"/>
  <c r="R22" s="1"/>
  <c r="M19"/>
  <c r="M16"/>
  <c r="R16" s="1"/>
  <c r="M14"/>
  <c r="R14" s="1"/>
  <c r="O39"/>
  <c r="Q38"/>
  <c r="R38" s="1"/>
  <c r="Q24"/>
  <c r="R24" s="1"/>
  <c r="Q21"/>
  <c r="R21" s="1"/>
  <c r="Q17"/>
  <c r="R17" s="1"/>
  <c r="Q15"/>
  <c r="R15" s="1"/>
  <c r="M9"/>
  <c r="R9" s="1"/>
  <c r="M39"/>
  <c r="M36"/>
  <c r="R36" s="1"/>
  <c r="M34"/>
  <c r="R34" s="1"/>
  <c r="M31"/>
  <c r="R31" s="1"/>
  <c r="M28"/>
  <c r="R28" s="1"/>
  <c r="O19"/>
  <c r="I23" i="5"/>
  <c r="M8"/>
  <c r="O14"/>
  <c r="O12"/>
  <c r="O10"/>
  <c r="H22" i="4"/>
  <c r="I22"/>
  <c r="L22"/>
  <c r="K22"/>
  <c r="T19"/>
  <c r="U19" s="1"/>
  <c r="M11"/>
  <c r="M12"/>
  <c r="M17"/>
  <c r="M13"/>
  <c r="M14"/>
  <c r="V14" s="1"/>
  <c r="M15"/>
  <c r="V15" s="1"/>
  <c r="M16"/>
  <c r="V16" s="1"/>
  <c r="M18"/>
  <c r="V18" s="1"/>
  <c r="M19"/>
  <c r="M20"/>
  <c r="V20" s="1"/>
  <c r="M21"/>
  <c r="M9"/>
  <c r="M22" s="1"/>
  <c r="P11"/>
  <c r="Q11" s="1"/>
  <c r="P17"/>
  <c r="Q17" s="1"/>
  <c r="P19"/>
  <c r="Q19" s="1"/>
  <c r="J11"/>
  <c r="J10"/>
  <c r="J12"/>
  <c r="Q12" s="1"/>
  <c r="J13"/>
  <c r="Q13" s="1"/>
  <c r="J9"/>
  <c r="Q9" s="1"/>
  <c r="Q10" l="1"/>
  <c r="V10" s="1"/>
  <c r="R19" i="6"/>
  <c r="R39"/>
  <c r="Q42"/>
  <c r="O23" i="5"/>
  <c r="V13" i="4"/>
  <c r="V12"/>
  <c r="J22"/>
  <c r="V11"/>
  <c r="V19"/>
  <c r="M23" i="5"/>
  <c r="V17" i="4"/>
  <c r="Q21" l="1"/>
  <c r="V9"/>
  <c r="R42" i="6"/>
  <c r="V21" i="4" l="1"/>
  <c r="F14" i="10"/>
  <c r="E14"/>
  <c r="O13"/>
  <c r="U13" s="1"/>
  <c r="V13" s="1"/>
  <c r="O12"/>
  <c r="U12" s="1"/>
  <c r="V12" s="1"/>
  <c r="O11"/>
  <c r="U11" s="1"/>
  <c r="V11" s="1"/>
  <c r="O10"/>
  <c r="O14" s="1"/>
  <c r="U14" s="1"/>
  <c r="U10" l="1"/>
  <c r="V10" s="1"/>
  <c r="V14" s="1"/>
  <c r="E20" i="9" l="1"/>
  <c r="I20"/>
  <c r="J20"/>
  <c r="L20"/>
  <c r="N20"/>
  <c r="O20"/>
  <c r="P20"/>
  <c r="M16"/>
  <c r="M18"/>
  <c r="M17"/>
  <c r="K11"/>
  <c r="Q11" s="1"/>
  <c r="K16"/>
  <c r="K12"/>
  <c r="Q12" s="1"/>
  <c r="K13"/>
  <c r="Q13" s="1"/>
  <c r="S13" s="1"/>
  <c r="K14"/>
  <c r="Q14" s="1"/>
  <c r="K15"/>
  <c r="Q15" s="1"/>
  <c r="K17"/>
  <c r="K18"/>
  <c r="K19"/>
  <c r="Q19" s="1"/>
  <c r="S19" s="1"/>
  <c r="K10"/>
  <c r="Q18" l="1"/>
  <c r="K20"/>
  <c r="Q17"/>
  <c r="M20"/>
  <c r="Q10"/>
  <c r="Q16"/>
  <c r="S20" l="1"/>
  <c r="Q20"/>
  <c r="K10" i="8" l="1"/>
  <c r="K27" s="1"/>
  <c r="S10" l="1"/>
  <c r="S27" s="1"/>
  <c r="O42" i="6"/>
</calcChain>
</file>

<file path=xl/sharedStrings.xml><?xml version="1.0" encoding="utf-8"?>
<sst xmlns="http://schemas.openxmlformats.org/spreadsheetml/2006/main" count="2486" uniqueCount="690">
  <si>
    <t>SỞ Y TẾ NGHỆ AN</t>
  </si>
  <si>
    <t>CỘNG HÒA XÃ HỘI CHỦ NGHĨA VIỆT NAM</t>
  </si>
  <si>
    <t>TRUNG TÂM Y TẾ HUYỆN QUỲ CHÂU</t>
  </si>
  <si>
    <t>Độc lập - Tự do - Hạnh phúc</t>
  </si>
  <si>
    <t>DANH SÁCH CÁN BỘ VIÊN CHỨC TRẠM Y TẾ XÃ BỔ SUNG PHỤ CẤP LƯƠNG</t>
  </si>
  <si>
    <t>T/t</t>
  </si>
  <si>
    <t>Họ và Tên</t>
  </si>
  <si>
    <t>Ngày sinh</t>
  </si>
  <si>
    <t>Mã nghạch</t>
  </si>
  <si>
    <t>Hệ số</t>
  </si>
  <si>
    <t>Hệ số VK</t>
  </si>
  <si>
    <t>Phụ cấp bổ sung</t>
  </si>
  <si>
    <t>Tổng tiền tăng/tháng</t>
  </si>
  <si>
    <t>Ghi chú</t>
  </si>
  <si>
    <t>Chức vụ</t>
  </si>
  <si>
    <t>Khu vực</t>
  </si>
  <si>
    <t>Ưu đãi</t>
  </si>
  <si>
    <t>Thu hút</t>
  </si>
  <si>
    <t>Công tác lâu năm</t>
  </si>
  <si>
    <t xml:space="preserve">Tổng Hsố tăng </t>
  </si>
  <si>
    <t>Được hưởng</t>
  </si>
  <si>
    <t>Đã hưởng</t>
  </si>
  <si>
    <t>Bổ sung</t>
  </si>
  <si>
    <t xml:space="preserve">Được hưởng </t>
  </si>
  <si>
    <t>%</t>
  </si>
  <si>
    <t>Hsố</t>
  </si>
  <si>
    <t>Trạm Y tế Châu Bình</t>
  </si>
  <si>
    <t>Phạm Thị Nhi</t>
  </si>
  <si>
    <t>25/12/1965</t>
  </si>
  <si>
    <t>V.08.03.07</t>
  </si>
  <si>
    <t>Vy Văn Đào</t>
  </si>
  <si>
    <t>V.08.01.03</t>
  </si>
  <si>
    <t>Nguyễn Thị Liên</t>
  </si>
  <si>
    <t>26/07/1987</t>
  </si>
  <si>
    <t>V.08.08.23</t>
  </si>
  <si>
    <t>Nguyễn Thị Nhàn</t>
  </si>
  <si>
    <t>V.08.06.16</t>
  </si>
  <si>
    <t>Tạ Thị Châu</t>
  </si>
  <si>
    <t>V.08.05.13</t>
  </si>
  <si>
    <t>Tổng cộng</t>
  </si>
  <si>
    <t>Vinh, ngày          tháng      năm 2018</t>
  </si>
  <si>
    <t>Xác nhận của Sở Y tế</t>
  </si>
  <si>
    <t>TRUNG TÂM Y TẾ QUỲ CHÂU</t>
  </si>
  <si>
    <t>GIÁM ĐỐC</t>
  </si>
  <si>
    <t>PP. TỔ CHỨC CÁN BỘ</t>
  </si>
  <si>
    <t>NGƯỜI LẬP BIỂU</t>
  </si>
  <si>
    <t>Dương Đình Chỉnh</t>
  </si>
  <si>
    <t>Nguyễn Thanh Tùng</t>
  </si>
  <si>
    <t>Phạm Đình Thuần</t>
  </si>
  <si>
    <t>Đặng Tân Minh</t>
  </si>
  <si>
    <t>(Tính đến ngày 01/05/2018)</t>
  </si>
  <si>
    <t>TT</t>
  </si>
  <si>
    <t>Mã ngạch</t>
  </si>
  <si>
    <t>Hệ số bổ sung</t>
  </si>
  <si>
    <t>Năm</t>
  </si>
  <si>
    <t>Tháng</t>
  </si>
  <si>
    <t>hệ số</t>
  </si>
  <si>
    <t>Ngày hưởng</t>
  </si>
  <si>
    <t>Trạm Y tế Châu Thuận</t>
  </si>
  <si>
    <t>Lê thị Quỳnh Giang</t>
  </si>
  <si>
    <t>V.08.02.06</t>
  </si>
  <si>
    <t>chuyển 25/2019</t>
  </si>
  <si>
    <t>Trương Thị Thủy</t>
  </si>
  <si>
    <t>Lương Thị Thủy</t>
  </si>
  <si>
    <t>24/06/1976</t>
  </si>
  <si>
    <t>Vi Thị Chi</t>
  </si>
  <si>
    <t>Trạm Y tế Châu Bính</t>
  </si>
  <si>
    <t>Trần Xuân Hòa</t>
  </si>
  <si>
    <t>Trần Thị Xuyến</t>
  </si>
  <si>
    <t xml:space="preserve"> </t>
  </si>
  <si>
    <t>Mạc Thị Thuyết</t>
  </si>
  <si>
    <t>Vi Thị Lý</t>
  </si>
  <si>
    <t>Vang Thanh Bình</t>
  </si>
  <si>
    <t>Phan Thu Hương</t>
  </si>
  <si>
    <t>Trạm Y tế Châu Tiến</t>
  </si>
  <si>
    <t>Lương Thị Hà</t>
  </si>
  <si>
    <t>Hà Thị Thơ</t>
  </si>
  <si>
    <t>Lê Thị An</t>
  </si>
  <si>
    <t>Vi Thị Hồng</t>
  </si>
  <si>
    <t>22/06/1976</t>
  </si>
  <si>
    <t>Tăng Văn Tân</t>
  </si>
  <si>
    <t>Lang Thị Hoài</t>
  </si>
  <si>
    <t>Trạm Y tế Châu Thắng</t>
  </si>
  <si>
    <t>Lương Thị Tuyến</t>
  </si>
  <si>
    <t>Sầm Thị Thanh</t>
  </si>
  <si>
    <t>Sầm Thị Mười</t>
  </si>
  <si>
    <t>Lữ Thị Thanh</t>
  </si>
  <si>
    <t>Nguyễn Thị Nhung</t>
  </si>
  <si>
    <t>Lô Thị Hồng Nhi</t>
  </si>
  <si>
    <t>mới tuyển</t>
  </si>
  <si>
    <t>Trạm Y tế Châu Hạnh</t>
  </si>
  <si>
    <t>Lê Thị Nga</t>
  </si>
  <si>
    <t>Trần Thị Châu</t>
  </si>
  <si>
    <t>Bùi Thị Hạnh</t>
  </si>
  <si>
    <t>28/08/1980</t>
  </si>
  <si>
    <t>Lê Thị Hòa</t>
  </si>
  <si>
    <t xml:space="preserve">23/3/1986 </t>
  </si>
  <si>
    <t>Sầm Thị Hà</t>
  </si>
  <si>
    <t>Lê Thị Phương Thảo</t>
  </si>
  <si>
    <t>Trạm Y tế thị trấn Tân Lạc</t>
  </si>
  <si>
    <t>Vi Thị Chuyên</t>
  </si>
  <si>
    <t>28/07/1973</t>
  </si>
  <si>
    <t>Vi Thị Lan</t>
  </si>
  <si>
    <t>13/07/1971</t>
  </si>
  <si>
    <t>Nguyễn Thị Hiền</t>
  </si>
  <si>
    <t>Vi Thị Đào</t>
  </si>
  <si>
    <t>13/08/1971</t>
  </si>
  <si>
    <t>Nguyễn Thị Loan</t>
  </si>
  <si>
    <t>Trạm Y tế Châu Hội</t>
  </si>
  <si>
    <t>Lương Thị Hiền</t>
  </si>
  <si>
    <t>28/04/1976</t>
  </si>
  <si>
    <t>Lữ Thị Thành</t>
  </si>
  <si>
    <t>23/6/1985</t>
  </si>
  <si>
    <t>Lữ thị Mai Lê</t>
  </si>
  <si>
    <t>Sầm Thị Hảo</t>
  </si>
  <si>
    <t>Vi Thị Hiền</t>
  </si>
  <si>
    <t>26/10/1985</t>
  </si>
  <si>
    <t>chưa hét 70</t>
  </si>
  <si>
    <t>xem hsTNN</t>
  </si>
  <si>
    <t>Lương Thị Nga</t>
  </si>
  <si>
    <t xml:space="preserve">                               Trạm Y tế Châu Nga</t>
  </si>
  <si>
    <t>Lang Văn Hùng</t>
  </si>
  <si>
    <t>Nguyễn thị Hồng Vân</t>
  </si>
  <si>
    <t>Vy Thị Thanh</t>
  </si>
  <si>
    <t>Trạm Y tế Châu Phong</t>
  </si>
  <si>
    <t>Trương Thị Hiền</t>
  </si>
  <si>
    <t>Quang Văn Dũng</t>
  </si>
  <si>
    <t xml:space="preserve">Vi Thị Kim Chi </t>
  </si>
  <si>
    <t>Lô Văn Hải</t>
  </si>
  <si>
    <t>Phạm Thị Vân</t>
  </si>
  <si>
    <t>20/09/1978</t>
  </si>
  <si>
    <t xml:space="preserve">  Trạm Y tế Châu Hoàn</t>
  </si>
  <si>
    <t>Lữ Ngọc Chuyển</t>
  </si>
  <si>
    <t>15/06/1968</t>
  </si>
  <si>
    <t>Quang Thị Hương</t>
  </si>
  <si>
    <t>Lữ Bình Ngọc</t>
  </si>
  <si>
    <t>Vi Thị Nhung</t>
  </si>
  <si>
    <t>19/11/1983</t>
  </si>
  <si>
    <t>Lang Văn Như</t>
  </si>
  <si>
    <t xml:space="preserve">                               Trạm Y tế Diên Lãm</t>
  </si>
  <si>
    <t>Hà Văn Bính</t>
  </si>
  <si>
    <t>Vi Minh Đức</t>
  </si>
  <si>
    <t>chưa hết 70</t>
  </si>
  <si>
    <t>Quang Thị Hồng</t>
  </si>
  <si>
    <t>15/04/1980</t>
  </si>
  <si>
    <t>Hà Thị Lý</t>
  </si>
  <si>
    <t>Lô Thị Tuyết</t>
  </si>
  <si>
    <t>Ngân Thị Hà</t>
  </si>
  <si>
    <t>30/06/1963</t>
  </si>
  <si>
    <t>Họ và tên</t>
  </si>
  <si>
    <t>Trách nhiệm</t>
  </si>
  <si>
    <t>Vượt khung</t>
  </si>
  <si>
    <t>Lữ Thị Mai Lê</t>
  </si>
  <si>
    <t>Vy Văn Sinh</t>
  </si>
  <si>
    <t>TRUNG TÂM Y TẾ QÙY CHÂU</t>
  </si>
  <si>
    <t>Độc lập- Tự do- Hanh phúc</t>
  </si>
  <si>
    <t>Hệ số cũ</t>
  </si>
  <si>
    <t>Ngày xếp</t>
  </si>
  <si>
    <t>Hệ số mới</t>
  </si>
  <si>
    <t>Chênh lệch</t>
  </si>
  <si>
    <t>Ưu đãi tăng thêm</t>
  </si>
  <si>
    <t>Các khoản đóng góp</t>
  </si>
  <si>
    <t>Số tiền tăng</t>
  </si>
  <si>
    <t>Hệ điều trị</t>
  </si>
  <si>
    <t>V.08.01.02</t>
  </si>
  <si>
    <t>V.08.05.12</t>
  </si>
  <si>
    <t>Lương Thị Tuyết</t>
  </si>
  <si>
    <t>Lang Thị Kiều</t>
  </si>
  <si>
    <t>Lữ Thị Thuận</t>
  </si>
  <si>
    <t>Trần Thức Huy</t>
  </si>
  <si>
    <t>Phan Thị Thành Thảo</t>
  </si>
  <si>
    <t>V.08.07.18</t>
  </si>
  <si>
    <t>Mạc Thành Linh</t>
  </si>
  <si>
    <t>V.08.08.22</t>
  </si>
  <si>
    <t>Hệ dự phòng</t>
  </si>
  <si>
    <t>Nguyễn thị Ngọc Hạnh</t>
  </si>
  <si>
    <t>06a.031</t>
  </si>
  <si>
    <t>Tống Thị Hằng</t>
  </si>
  <si>
    <t>Nguyễn thị Trang Nhung</t>
  </si>
  <si>
    <t>Lê Thị Huệ</t>
  </si>
  <si>
    <t>Nguyễn Thành Chung</t>
  </si>
  <si>
    <t>Lương Anh Sơn</t>
  </si>
  <si>
    <t>Nguyễn Thị Tùy</t>
  </si>
  <si>
    <t>GIÁM ĐỐC SỞ</t>
  </si>
  <si>
    <t>PHÒNG TỔ CHỨC CÁN BỘ</t>
  </si>
  <si>
    <t>Hệ số lương</t>
  </si>
  <si>
    <t>Ngày xếp mới</t>
  </si>
  <si>
    <t>Chênh lệch hệ số</t>
  </si>
  <si>
    <t>Thu hút tăng thêm</t>
  </si>
  <si>
    <t>Khoản đóng góp</t>
  </si>
  <si>
    <t>Số tiền tăng thêm/tháng</t>
  </si>
  <si>
    <t>Trạm y tế Châu Thuận</t>
  </si>
  <si>
    <t>Trạm y tế Châu Tiến</t>
  </si>
  <si>
    <t>Trạm y tế Châu Thắng</t>
  </si>
  <si>
    <t>V.08,06,16</t>
  </si>
  <si>
    <t>Trạm y tế Châu Hạnh</t>
  </si>
  <si>
    <t>Trạm thị trấn Tân Lạc</t>
  </si>
  <si>
    <t>Trạm y tế Châu Phong</t>
  </si>
  <si>
    <t>Trạm y tê Châu Hoàn</t>
  </si>
  <si>
    <t>Trạm y tế Diên Lãm</t>
  </si>
  <si>
    <t>Trạm y tê Châu Hội</t>
  </si>
  <si>
    <t>Trạm y tê Châu Bình</t>
  </si>
  <si>
    <t>Trạm y tê Châu Nga</t>
  </si>
  <si>
    <t>68,97</t>
  </si>
  <si>
    <t>0,406</t>
  </si>
  <si>
    <t>Hoàng Thị Lập</t>
  </si>
  <si>
    <t>V.08.07.19</t>
  </si>
  <si>
    <t>Lang Thị Thu</t>
  </si>
  <si>
    <t>Hoàng Thị Hường</t>
  </si>
  <si>
    <t>HS Vượt khung</t>
  </si>
  <si>
    <t>Phụ cấp giảm</t>
  </si>
  <si>
    <t>Ngày cắt giảm</t>
  </si>
  <si>
    <t>Độc hại</t>
  </si>
  <si>
    <t>Tổng H số giảm</t>
  </si>
  <si>
    <t>Giảm</t>
  </si>
  <si>
    <t>Trạm Y tế Châu Nga</t>
  </si>
  <si>
    <t>Quỳ Châu, ngày        tháng       năm 2019</t>
  </si>
  <si>
    <t>XÁC NHẬN CỦA SỞ Y TẾ</t>
  </si>
  <si>
    <t>HS mới</t>
  </si>
  <si>
    <t>DANH SÁCH CÁN BỘ VIÊN CHỨC TRẠM Y TẾ XÃ ĐƯỢC NÂNG LƯƠNG  6 THÁNG ĐẦU NĂM 2019</t>
  </si>
  <si>
    <t>NL TTH</t>
  </si>
  <si>
    <t xml:space="preserve">         PHÒNG TỔ CHỨC CÁN BỘ</t>
  </si>
  <si>
    <t>Phan Bá Lịch</t>
  </si>
  <si>
    <t>DANH SÁCH CÁN BỘ VIÊN CHỨCTRUNG TÂM Y TẾ  ĐƯỢC NÂNG  VƯỢT KHUNG LƯƠNG  6 THÁNG ĐẦU NĂM 2019</t>
  </si>
  <si>
    <t>Ngày tháng sinh</t>
  </si>
  <si>
    <t>Lương, phụ cấp hiện hưởng</t>
  </si>
  <si>
    <t>Lương, phụ cấp được tăng</t>
  </si>
  <si>
    <t xml:space="preserve">Họ và tên </t>
  </si>
  <si>
    <t>Ưu đãi tăng</t>
  </si>
  <si>
    <t>Thu hút tăng</t>
  </si>
  <si>
    <t>các khoản đóng góp</t>
  </si>
  <si>
    <t>Số tiền tăng/tháng</t>
  </si>
  <si>
    <t>số %</t>
  </si>
  <si>
    <t>Giảm %</t>
  </si>
  <si>
    <t>giảm</t>
  </si>
  <si>
    <t>khu vực</t>
  </si>
  <si>
    <t xml:space="preserve">     CỘNG HÒA XÃ HỘI CHỦ NGHĨA VIỆT NAM</t>
  </si>
  <si>
    <t xml:space="preserve">                            Độc lập - Tự do - Hạnh phúc</t>
  </si>
  <si>
    <t>Hệ số phụ câp</t>
  </si>
  <si>
    <t>Lưu động</t>
  </si>
  <si>
    <t>Lương Quý Nhân</t>
  </si>
  <si>
    <t>Sầm Thị Phương Thuận</t>
  </si>
  <si>
    <t>Vi Ngọc Trâm</t>
  </si>
  <si>
    <t>Lim Trung Hiếu</t>
  </si>
  <si>
    <t>Võ Thị Ngà</t>
  </si>
  <si>
    <t>Vi Thị Giang</t>
  </si>
  <si>
    <t>Tổng hệ số, phụ cấp</t>
  </si>
  <si>
    <t>Thành tiền tăng/tháng</t>
  </si>
  <si>
    <t>DANH SÁCH VIÊN CHỨC MỚI TUYỂN DỤNG TTYT  XIN BỔ SUNG QUỸ TIỀN LƯƠNG ĐẦU NĂM 2019</t>
  </si>
  <si>
    <t xml:space="preserve">DANH SÁCH VIÊN CHỨC TRẠM Y TẾ HƯỞNG PHỤ CẤP THÂM NIÊN NGHỀ THEO NGHỊ ĐỊNH 116 </t>
  </si>
  <si>
    <t>Phụ cấp thâm niên nghề nghiệp</t>
  </si>
  <si>
    <t>Độc lập- Tự do- Hạnh phúc</t>
  </si>
  <si>
    <t>Đề nghị được hưởng</t>
  </si>
  <si>
    <t>Phụ cấp Ưu đãi nghề nghiệp</t>
  </si>
  <si>
    <t>Phụ cấp thu hút</t>
  </si>
  <si>
    <t>Số %</t>
  </si>
  <si>
    <t>bổ sung HS</t>
  </si>
  <si>
    <t xml:space="preserve">DANH SÁCH VIÊN CHỨC TRẠM Y TẾ PHỤ CẤP VÀO VÙNG KINH TẾ ĐẶC BIỆT KHÓ KHĂN </t>
  </si>
  <si>
    <t>(Tính đến ngày 01/05/2019)</t>
  </si>
  <si>
    <t>DANH SÁCH CÁN BỘ VIÊN CHỨC TRẠM Y TẾ XÃ CHÂU BÌNH BỔ SUNG PHỤ CẤP ƯU ĐÃI</t>
  </si>
  <si>
    <t>foto qđ</t>
  </si>
  <si>
    <t>fôt bìa đất</t>
  </si>
  <si>
    <t>18/01/1969</t>
  </si>
  <si>
    <t>Phạm Thị Ngọc</t>
  </si>
  <si>
    <t>26/03/1972</t>
  </si>
  <si>
    <t>Lô Thanh Quý</t>
  </si>
  <si>
    <t>20/09/1975</t>
  </si>
  <si>
    <t>Đặng Thị Ninh</t>
  </si>
  <si>
    <t>30/05/1985</t>
  </si>
  <si>
    <t>Lương Thị Bích Thủy</t>
  </si>
  <si>
    <t>Phạm Thị Thủy</t>
  </si>
  <si>
    <t>Lê Thị Thu Huyền</t>
  </si>
  <si>
    <t>Lô Thanh Ngọc</t>
  </si>
  <si>
    <t>24/08/1985</t>
  </si>
  <si>
    <t>Vy Thị Danh</t>
  </si>
  <si>
    <t>22/04/1978</t>
  </si>
  <si>
    <t>Tống Thị Mỹ Châu</t>
  </si>
  <si>
    <t>Vy Thị Vinh</t>
  </si>
  <si>
    <t>30/04/1972</t>
  </si>
  <si>
    <t>22/11/1975</t>
  </si>
  <si>
    <t>Lang Thị Nga</t>
  </si>
  <si>
    <t>15/11/1979</t>
  </si>
  <si>
    <t>Cao Văn Khánh</t>
  </si>
  <si>
    <t>Nguyễn Thị Khuyên</t>
  </si>
  <si>
    <t>Lương Thị Thu</t>
  </si>
  <si>
    <t>Đinh Thị Hạnh</t>
  </si>
  <si>
    <t>Nguyễn Thị Phương</t>
  </si>
  <si>
    <t>29/12/1989</t>
  </si>
  <si>
    <t>29/08/1980</t>
  </si>
  <si>
    <t>Nguyễn Tiến Dũng</t>
  </si>
  <si>
    <t>27/06/1963</t>
  </si>
  <si>
    <t>Sầm Thị Giang</t>
  </si>
  <si>
    <t>Nguyễn Thị Thu Hoài</t>
  </si>
  <si>
    <t>23/7/1988</t>
  </si>
  <si>
    <t>Lô Thị Tâm</t>
  </si>
  <si>
    <t>30/05/1972</t>
  </si>
  <si>
    <t>Tổng hệ số tăng</t>
  </si>
  <si>
    <t>DANH SÁCH CÁN BỘ Y TẾ XÃ ĐỀ NGHỊ THAY ĐỔI PHỤ CẤP</t>
  </si>
  <si>
    <t>Quỳ Châu, ngày     tháng 6 năm 2019</t>
  </si>
  <si>
    <t>Lương Thị Ngân</t>
  </si>
  <si>
    <t>Lương thị Nga</t>
  </si>
  <si>
    <t>để sau</t>
  </si>
  <si>
    <t>đang hưởng</t>
  </si>
  <si>
    <t>Trạm Y tế Châu thắng</t>
  </si>
  <si>
    <t>BC 9/2008</t>
  </si>
  <si>
    <t>Vượt  khung</t>
  </si>
  <si>
    <t>Châu Hạnh</t>
  </si>
  <si>
    <t>Châu Thắng</t>
  </si>
  <si>
    <t>Châu Bình</t>
  </si>
  <si>
    <t>Thị trấn</t>
  </si>
  <si>
    <t xml:space="preserve">       SỞ Y TẾ NGHỆ AN</t>
  </si>
  <si>
    <t xml:space="preserve">       CỘNG HÒA XÃ HỘI CHỦ NGHĨA VIỆT NAM</t>
  </si>
  <si>
    <t>BVĐK HUYỆN QUỲ CHÂU</t>
  </si>
  <si>
    <t xml:space="preserve">  Độc lập- Tự do- Hạnh phúc</t>
  </si>
  <si>
    <t>DANH SÁCH  THĂNG HẠNG VIÊN CHỨC ĐỐI TƯỢNG Y SĨ; DƯỢC SĨ HẠNG IV LÊN BÁC SĨ, DƯỢC SĨ HẠNG III</t>
  </si>
  <si>
    <t>Kèm theo tờ trình số 16 /TTr-TTYT ngày       tháng 7 năm 2019</t>
  </si>
  <si>
    <t>ngày thángnăm sinh</t>
  </si>
  <si>
    <t>QĐ cử đi đào tạo</t>
  </si>
  <si>
    <t>Năm TN bác sỹ</t>
  </si>
  <si>
    <t>Trường đào tạo</t>
  </si>
  <si>
    <t>Hạng viên chức hiện tại</t>
  </si>
  <si>
    <t>Đề nghị thăng hạng viên chức</t>
  </si>
  <si>
    <t>Vị trí việc làm sau thăng hạng</t>
  </si>
  <si>
    <t xml:space="preserve">Nam </t>
  </si>
  <si>
    <t>Nữ</t>
  </si>
  <si>
    <t>Chức danh nghề nghiệp</t>
  </si>
  <si>
    <t>Trần Anh Tuấn</t>
  </si>
  <si>
    <t>08/09/1988</t>
  </si>
  <si>
    <t>Số 1050/QĐ-SYT ngày 20/10/2014</t>
  </si>
  <si>
    <t>Hải Phòng</t>
  </si>
  <si>
    <t>Y sỹ</t>
  </si>
  <si>
    <t>Bác sỹ đa khoa</t>
  </si>
  <si>
    <t>Bác sỹ điều trị bệnh đa khoa huyện xã</t>
  </si>
  <si>
    <t>Hủn Vi Thành</t>
  </si>
  <si>
    <t>15/12/1988</t>
  </si>
  <si>
    <t>Số 960/QĐ-SYT ngày 9/9/20141</t>
  </si>
  <si>
    <t>Thái Nguyên</t>
  </si>
  <si>
    <t>Trần Thị Thúy Ngân</t>
  </si>
  <si>
    <t>Số 961/QĐ-SYT ngày 9/9/20141</t>
  </si>
  <si>
    <t>Phạm Đức Anh</t>
  </si>
  <si>
    <t>15/08/1989</t>
  </si>
  <si>
    <t>Số 1052/QĐ-SYT ngày 20/10/2014</t>
  </si>
  <si>
    <t>25/05/1987</t>
  </si>
  <si>
    <t>Số 714/QĐ-SYT ngày 30/6/2014</t>
  </si>
  <si>
    <t>15/10/1981</t>
  </si>
  <si>
    <t>Số 958/QĐ-SYT ngày 9/9/20141</t>
  </si>
  <si>
    <t>03/08/1987</t>
  </si>
  <si>
    <t>Thái Bình</t>
  </si>
  <si>
    <t>17/03/1987</t>
  </si>
  <si>
    <t>Số 939/QĐ-SYT ngày 9/9/20141</t>
  </si>
  <si>
    <t>dược sỹ</t>
  </si>
  <si>
    <t>V.08.08.24</t>
  </si>
  <si>
    <t>DS Đạị học</t>
  </si>
  <si>
    <t>Dược sỹ</t>
  </si>
  <si>
    <t>Vinh, ngày          tháng      năm 2019</t>
  </si>
  <si>
    <t>Quỳ Châu, ngày 08 tháng 7 năm 2019</t>
  </si>
  <si>
    <t>Lê Giang Nam</t>
  </si>
  <si>
    <t>Hủn Vi Trường</t>
  </si>
  <si>
    <t>Quang Thị Ngọc</t>
  </si>
  <si>
    <t>V.08.02.05</t>
  </si>
  <si>
    <t>16/08/1963</t>
  </si>
  <si>
    <t>Vinh , ngày        tháng         năm 2019</t>
  </si>
  <si>
    <t>xin thôi việc</t>
  </si>
  <si>
    <t>Nghỉ hưu</t>
  </si>
  <si>
    <t>Vinh ngày           tháng        năm 2019</t>
  </si>
  <si>
    <t>Xác nhận của Sở y tế</t>
  </si>
  <si>
    <t>TP. TỔ CHỨC CÁN BỘ</t>
  </si>
  <si>
    <t>Vinh , ngày        tháng        năm 2019</t>
  </si>
  <si>
    <t>DANH SÁCH CÁN BỘ VIÊN CHỨC TRUNG TÂM Y TẾ ĐƯỢC NÂNG LƯƠNG  6 THÁNG ĐẦU NĂM 2019</t>
  </si>
  <si>
    <t>Vinh , ngày      tháng      năm 2019</t>
  </si>
  <si>
    <t>Vinh , ngày     tháng     năm 2019</t>
  </si>
  <si>
    <t>Trạm y tế xã Châu Phong</t>
  </si>
  <si>
    <t>Trạm y tế xã Châu Hạnh</t>
  </si>
  <si>
    <t>QĐ đầu 2016</t>
  </si>
  <si>
    <t>Nguyễn thị hồng Vân</t>
  </si>
  <si>
    <t>QĐ đầu2017</t>
  </si>
  <si>
    <t>QĐ cuối 2017</t>
  </si>
  <si>
    <t xml:space="preserve">Xem kỹ </t>
  </si>
  <si>
    <t>ok</t>
  </si>
  <si>
    <t>vinh , ngày      tháng    năm 2019</t>
  </si>
  <si>
    <t>Quỳ Châu, ngày      tháng 7 năm 2019</t>
  </si>
  <si>
    <t>XÁC NHẬN SỞ Y TẾ</t>
  </si>
  <si>
    <t xml:space="preserve">       Phan Bá Lịch</t>
  </si>
  <si>
    <t>cắt thu hút 1/2016</t>
  </si>
  <si>
    <t>QĐ nâng lương QĐ cuối 2017</t>
  </si>
  <si>
    <t>số TT</t>
  </si>
  <si>
    <t>Hồi sức cấp cứu, đỡ đẻ khó</t>
  </si>
  <si>
    <t>ĐT BN tâm thần</t>
  </si>
  <si>
    <t>CS BN tâm thần</t>
  </si>
  <si>
    <t>CS BN hồi sức cấp cứu nhi khoa</t>
  </si>
  <si>
    <t>Lê Việt Thắng</t>
  </si>
  <si>
    <t>ĐT bệnh nhân gây mê sau 48h, BN hồi sức cấp cứu ngoại, bỏng</t>
  </si>
  <si>
    <t>CS BN hồi sức cấp cứu ngoại</t>
  </si>
  <si>
    <t>ĐT bệnh nhân gây mê sau 48h</t>
  </si>
  <si>
    <t>CS BN da liễu</t>
  </si>
  <si>
    <t>CS BN bỏng (thay Dưỡng thôi việc)</t>
  </si>
  <si>
    <t>Lê Thị Hoài</t>
  </si>
  <si>
    <t>CS bệnh nhân sau mổ sau 48h</t>
  </si>
  <si>
    <t>03-051983</t>
  </si>
  <si>
    <t>Nguyễn Như Ngọc</t>
  </si>
  <si>
    <t>Kho ARV</t>
  </si>
  <si>
    <t>Lữ Thị Minh</t>
  </si>
  <si>
    <t>Kho lao, tâm thần</t>
  </si>
  <si>
    <t>Nguyễn Thị Trang Nhung</t>
  </si>
  <si>
    <t>Phòng tiêm, tư vấn bệnh dại</t>
  </si>
  <si>
    <t>Vi Thị Xuân</t>
  </si>
  <si>
    <t>Khám BN lao, tâm thần</t>
  </si>
  <si>
    <t>CS Bn lao, tâm thần</t>
  </si>
  <si>
    <t>Lang Thị chiến</t>
  </si>
  <si>
    <t>CS BN truyền nhiễm</t>
  </si>
  <si>
    <t>Nguyễn Tuấn Anh</t>
  </si>
  <si>
    <t>CS BN bỏng</t>
  </si>
  <si>
    <t>28-8-0967</t>
  </si>
  <si>
    <t>Khám BN da liễu</t>
  </si>
  <si>
    <t>Trương Đỗ Mỹ</t>
  </si>
  <si>
    <t>0 6.032</t>
  </si>
  <si>
    <t>Thủ quỹ</t>
  </si>
  <si>
    <t xml:space="preserve">Tổng hệ số tăng </t>
  </si>
  <si>
    <t xml:space="preserve">   SỞ Y TẾ NGHỆ AN</t>
  </si>
  <si>
    <t>CỘNG HOÀ XÃ HỘI CHỦ NGHĨA VIỆT NAM</t>
  </si>
  <si>
    <t xml:space="preserve">       Độc lập- Tự do- Hạnh phúc</t>
  </si>
  <si>
    <t>Ngày tháng năm sinh</t>
  </si>
  <si>
    <t>Mã số</t>
  </si>
  <si>
    <t>Hệ số đang hưởng</t>
  </si>
  <si>
    <t>23% đóng góp</t>
  </si>
  <si>
    <t>Đóng góp tăng</t>
  </si>
  <si>
    <t>Tổng tiền tăng thêm /tháng</t>
  </si>
  <si>
    <t xml:space="preserve"> %</t>
  </si>
  <si>
    <t xml:space="preserve">                    XÁC NHẬN CỦA SỞ Y TẾ NGHỆ AN</t>
  </si>
  <si>
    <t xml:space="preserve">     Phan Bá Lịch</t>
  </si>
  <si>
    <t xml:space="preserve">               TP Vinh; Ngày       tháng       năm 2019</t>
  </si>
  <si>
    <t xml:space="preserve">       Quỳ Châu, ngày 8 tháng  7  năm 2019</t>
  </si>
  <si>
    <t>Dương Dình Chỉnh</t>
  </si>
  <si>
    <t>Lê Giang nam</t>
  </si>
  <si>
    <t xml:space="preserve"> GIÁM ĐỐC </t>
  </si>
  <si>
    <t xml:space="preserve">           TRUNG TÂM Y TẾ  HUYỆN QUỲ CHÂU</t>
  </si>
  <si>
    <t>DANH SÁCH LÃNH ĐẠO ĐƠN VỊ ĐƯỢC NÂNG LƯƠNG 6 THÁNG ĐẦU NĂM 2019</t>
  </si>
  <si>
    <t>Phụ cấp chức vụ</t>
  </si>
  <si>
    <t>Nơi đến công tác</t>
  </si>
  <si>
    <t>DANH SÁCH VIÊN CHỨC NGHỈ HƯU ĐE NGHỊ CẮT GIẢM QUỸ TIỀN LƯƠNGCUỐI NĂM  NĂM 2018</t>
  </si>
  <si>
    <t>Quỳ Châu, ngày        tháng       năm 2018</t>
  </si>
  <si>
    <t>Vinh , ngày        tháng         năm 2018</t>
  </si>
  <si>
    <t>DANH SÁCH VIÊN CHỨC NGHỈ VIỆC ĐÈ NGHỊ CẮT GIẢM QUỸ TIỀN LƯƠNG ĐẦU NĂM  NĂM 2019</t>
  </si>
  <si>
    <t>BỔ SUNG QUYẾT ĐỊNH</t>
  </si>
  <si>
    <t>Trưởng trạm Châu Phong</t>
  </si>
  <si>
    <t>NHS trạm Châu Phong</t>
  </si>
  <si>
    <t>Phó trạm Châu Thuận</t>
  </si>
  <si>
    <t>YS  trạm Châu Thuận</t>
  </si>
  <si>
    <t>Phó trạm Châu Bình</t>
  </si>
  <si>
    <t>Phó trạm Châu Bính</t>
  </si>
  <si>
    <t>NHS trạm Châu Tiến</t>
  </si>
  <si>
    <t>NHS trạm Châu Hội</t>
  </si>
  <si>
    <t>YS  trạm Thị trấn</t>
  </si>
  <si>
    <t>NHS trạm Châu Thuận</t>
  </si>
  <si>
    <t>NHS trạm Diên Lãm</t>
  </si>
  <si>
    <t>NHS trạm Châu Hạnh</t>
  </si>
  <si>
    <t>Sơ %</t>
  </si>
  <si>
    <t>DANH SÁCH CÁN BỘ VIÊN CHỨC TRẠM Y TẾ  ĐƯỢC NÂNG  VƯỢT KHUNG LƯƠNG  6 THÁNG ĐẦU NĂM 2019</t>
  </si>
  <si>
    <t>DANH SÁCH VIÊN CHỨC TRẠM Y TẾ T GIẢM PHỤ CẤP THU HÚT 6 THÁNG ĐẦU NĂM 2019</t>
  </si>
  <si>
    <t>XEM 1,0</t>
  </si>
  <si>
    <t>XEM CHUYỂN TÂN LẠC</t>
  </si>
  <si>
    <t>Kho lưu chứng từ</t>
  </si>
  <si>
    <t>Phó khoa An toàn VSTP</t>
  </si>
  <si>
    <t xml:space="preserve">VT Lưu trữ </t>
  </si>
  <si>
    <t>NLTKH</t>
  </si>
  <si>
    <t xml:space="preserve">  TTYT HUYỆN QÙY CHÂU</t>
  </si>
  <si>
    <t>V.08.01. 03</t>
  </si>
  <si>
    <t>Đỡ đẻ khó</t>
  </si>
  <si>
    <t>Phan Thị Hải Yến</t>
  </si>
  <si>
    <t>Lô Thanh Hương</t>
  </si>
  <si>
    <t>Bác sĩ siêu âm</t>
  </si>
  <si>
    <t>Khám điều trị lao lây</t>
  </si>
  <si>
    <t>Khám điều trị BN HIV/ARV</t>
  </si>
  <si>
    <t>H số</t>
  </si>
  <si>
    <t>Quỳ Châu, ngày      tháng 07 năm 2019</t>
  </si>
  <si>
    <t>Tháng 5/2017 được hưởng trở lại 70% ưu đãi tại QĐ NL cuối 2017</t>
  </si>
  <si>
    <t>bị giảm chế độ từ 11/2017</t>
  </si>
  <si>
    <t>tổng cộng</t>
  </si>
  <si>
    <t>01/062018</t>
  </si>
  <si>
    <t>chưa in</t>
  </si>
  <si>
    <t xml:space="preserve">DANH SÁCH CÔNG CHỨC, VIÊN CHỨC ĐIỀU CHỈNH LƯƠNG CƠ SỞ NĂM 2018 </t>
  </si>
  <si>
    <t>Ngày tháng  năm  sinh</t>
  </si>
  <si>
    <t>Hệ số phụ cấp</t>
  </si>
  <si>
    <t>Khoản đóng góp 23,5%</t>
  </si>
  <si>
    <t>Tổng cộng hệ số</t>
  </si>
  <si>
    <t>V khung</t>
  </si>
  <si>
    <t>CV</t>
  </si>
  <si>
    <t>KV</t>
  </si>
  <si>
    <t>TN</t>
  </si>
  <si>
    <t xml:space="preserve"> Bảo lưu</t>
  </si>
  <si>
    <t>Tổng phụ cấp</t>
  </si>
  <si>
    <t>I</t>
  </si>
  <si>
    <t>Hệ Điều trị</t>
  </si>
  <si>
    <t>Ban Giám đốc</t>
  </si>
  <si>
    <t>Hoàng Anh Hiệp</t>
  </si>
  <si>
    <t>V.08.08.21</t>
  </si>
  <si>
    <t>Phòng Tài vụ-Kế toán</t>
  </si>
  <si>
    <t>Lê Hữu Ngọc</t>
  </si>
  <si>
    <t>Vi Thị Hồng Bé</t>
  </si>
  <si>
    <t>23/06/1985</t>
  </si>
  <si>
    <t>06a031</t>
  </si>
  <si>
    <t>22/10/1984</t>
  </si>
  <si>
    <t>Lang Thị Hồng Lan</t>
  </si>
  <si>
    <t>Phòng Tổ chức-Hành chính</t>
  </si>
  <si>
    <t>16/10/1966</t>
  </si>
  <si>
    <t>Lương Việt Khoa</t>
  </si>
  <si>
    <t>Vi Văn Nhất</t>
  </si>
  <si>
    <t>16/12/1972</t>
  </si>
  <si>
    <t>Phòng Kế hoạch-nghiệp vụ</t>
  </si>
  <si>
    <t>Trần Thị Hương</t>
  </si>
  <si>
    <t>22/05/1966</t>
  </si>
  <si>
    <t>Hồ Thị Thanh</t>
  </si>
  <si>
    <t>Lê Thị Hồng Thắm</t>
  </si>
  <si>
    <t>Nguyễn Tiến Mạnh</t>
  </si>
  <si>
    <t>V.05.02.07</t>
  </si>
  <si>
    <t>Phòng Điều dưỡng</t>
  </si>
  <si>
    <t>Khoa Nôi-Nhi-Lây Tổng hợp</t>
  </si>
  <si>
    <t>Lương Thị Ngọc Ánh</t>
  </si>
  <si>
    <t>Lương Thị Lan</t>
  </si>
  <si>
    <t>20/09/1969</t>
  </si>
  <si>
    <t>17/8/1988</t>
  </si>
  <si>
    <t>Quang Thị Yến</t>
  </si>
  <si>
    <t>Nguyễn Thị Mai</t>
  </si>
  <si>
    <t>Vi Thị Nang</t>
  </si>
  <si>
    <t>15/12/89</t>
  </si>
  <si>
    <t>Trương Trung Hiếu</t>
  </si>
  <si>
    <t>Lữ Thị Ly</t>
  </si>
  <si>
    <t>17/02/1990</t>
  </si>
  <si>
    <t>Lê Thị Hải</t>
  </si>
  <si>
    <t>Lim Thị Phương Thảo</t>
  </si>
  <si>
    <t>21/10/1991</t>
  </si>
  <si>
    <t>Nguyễn Thị Thỏa</t>
  </si>
  <si>
    <t>Vi Thị Hải</t>
  </si>
  <si>
    <t>Khoa Ngoại-Sản</t>
  </si>
  <si>
    <t>Lương Văn Thủy</t>
  </si>
  <si>
    <t>21/02/1972</t>
  </si>
  <si>
    <t>25/3/1984</t>
  </si>
  <si>
    <t>Châu Minh Cương</t>
  </si>
  <si>
    <t>Tống Thị Oanh</t>
  </si>
  <si>
    <t>26/10/1970</t>
  </si>
  <si>
    <t>30/02/1965</t>
  </si>
  <si>
    <t>Lô Thị Phương</t>
  </si>
  <si>
    <t>24/04/1970</t>
  </si>
  <si>
    <t>Khoa Y học cổ truyền</t>
  </si>
  <si>
    <t>Vi Văn Chung</t>
  </si>
  <si>
    <t>20/04/1964</t>
  </si>
  <si>
    <t>28/08/1967</t>
  </si>
  <si>
    <t>Lý Thị Nhung</t>
  </si>
  <si>
    <t>Lang Thị Hà</t>
  </si>
  <si>
    <t>30/01/1975</t>
  </si>
  <si>
    <t>Hồ Thị Thủy</t>
  </si>
  <si>
    <t>Lang Văn Duy</t>
  </si>
  <si>
    <t>Vi Văn Ngọc</t>
  </si>
  <si>
    <t>15/08/1971</t>
  </si>
  <si>
    <t>Mạc Thị Yến</t>
  </si>
  <si>
    <t>14/08/1971</t>
  </si>
  <si>
    <t>Khoa Khám bệnh</t>
  </si>
  <si>
    <t>16/04/1971</t>
  </si>
  <si>
    <t>Lương Xuân Quỳnh</t>
  </si>
  <si>
    <t>Vi Thị Hương</t>
  </si>
  <si>
    <t>Vi Thị Hải Hậu</t>
  </si>
  <si>
    <t>20/11/1989</t>
  </si>
  <si>
    <t>28/3/1990</t>
  </si>
  <si>
    <t>15/8/1989</t>
  </si>
  <si>
    <t>25/5/1987</t>
  </si>
  <si>
    <t>23/11/1989</t>
  </si>
  <si>
    <t>25/12/1992</t>
  </si>
  <si>
    <t>Lang Thị Chiến</t>
  </si>
  <si>
    <t>14/05/1967</t>
  </si>
  <si>
    <t>Khoa Cận lâm sàng</t>
  </si>
  <si>
    <t>Từ Thị Hường</t>
  </si>
  <si>
    <t>Lương Văn Thương</t>
  </si>
  <si>
    <t>26/5/1976</t>
  </si>
  <si>
    <t>Trần Văn Chung</t>
  </si>
  <si>
    <t>24/04/1980</t>
  </si>
  <si>
    <t>24/04/1965</t>
  </si>
  <si>
    <t>Lô Thị Mơ</t>
  </si>
  <si>
    <t>18/12/1991</t>
  </si>
  <si>
    <t>Nguyễn Đình Phùng</t>
  </si>
  <si>
    <t>Lò Thị Mai</t>
  </si>
  <si>
    <t>15/01/1987</t>
  </si>
  <si>
    <t>Lang Văn Thuận</t>
  </si>
  <si>
    <t>13/01/1970</t>
  </si>
  <si>
    <t>Đậu Thị Hương</t>
  </si>
  <si>
    <t>26/11/1966</t>
  </si>
  <si>
    <t xml:space="preserve">         Khoa Dược</t>
  </si>
  <si>
    <t>Phan Thị Lài</t>
  </si>
  <si>
    <t>18/09/1970</t>
  </si>
  <si>
    <t>20/8/1987</t>
  </si>
  <si>
    <t>Tống Thị Cúc</t>
  </si>
  <si>
    <t>Cơ sở điều trị Methadone</t>
  </si>
  <si>
    <t>Hệ Dự phòng</t>
  </si>
  <si>
    <t xml:space="preserve">         Ban Giám đốc</t>
  </si>
  <si>
    <t>Vi Văn Thắng</t>
  </si>
  <si>
    <t>Đinh Ngọc Khiêm</t>
  </si>
  <si>
    <t>27/5/1984</t>
  </si>
  <si>
    <t>06. 032</t>
  </si>
  <si>
    <t>Hà Văn Hải</t>
  </si>
  <si>
    <t>Thái thị Hải Anh</t>
  </si>
  <si>
    <t>Khoa Chăm sóc SKSS</t>
  </si>
  <si>
    <t>Lang Thị Trúc Phương</t>
  </si>
  <si>
    <t>Nguyễn thị Bích Vân</t>
  </si>
  <si>
    <t>Trần Thị Thu</t>
  </si>
  <si>
    <t>Hoàng Thị Tuyết</t>
  </si>
  <si>
    <t>Khoa KSDB-HIV/AIDS</t>
  </si>
  <si>
    <t>Vi Thị Tư</t>
  </si>
  <si>
    <t>Sầm Thị Nga</t>
  </si>
  <si>
    <t>Nguyễn Trọng Khánh</t>
  </si>
  <si>
    <t>Cao Thị Huyền</t>
  </si>
  <si>
    <t>Vi Nam Đông</t>
  </si>
  <si>
    <t>Vi Thị Bốn</t>
  </si>
  <si>
    <t>Khoa Y tế công cộng</t>
  </si>
  <si>
    <t>Lang Thị Hồng</t>
  </si>
  <si>
    <t>Lô Thị Thu</t>
  </si>
  <si>
    <t>Nguyễn Văn Hiếu</t>
  </si>
  <si>
    <t>Hoàng Anh Trung</t>
  </si>
  <si>
    <t>Phan Xuân Đức</t>
  </si>
  <si>
    <t>19/4/1988</t>
  </si>
  <si>
    <t>V.08.04.10</t>
  </si>
  <si>
    <t>Lương Thị Loan</t>
  </si>
  <si>
    <t>Lang Thị Hoa</t>
  </si>
  <si>
    <t>Đinh thị Thu Trang</t>
  </si>
  <si>
    <t>Khoa An toàn vệ sinh thực phẩm</t>
  </si>
  <si>
    <t>Trương Thanh Tâm</t>
  </si>
  <si>
    <t>Hoàng Thị Lệ</t>
  </si>
  <si>
    <t>Lương Thị Nhã</t>
  </si>
  <si>
    <t>Tổng cộng(I+II)</t>
  </si>
  <si>
    <t>PP TỔ CHỨC CÁN BỘ</t>
  </si>
  <si>
    <t>tháng</t>
  </si>
  <si>
    <t>Ngày</t>
  </si>
  <si>
    <t>Thành tiền/ tháng         (LCS 1490000)</t>
  </si>
  <si>
    <t>01</t>
  </si>
  <si>
    <t>02</t>
  </si>
  <si>
    <t>08</t>
  </si>
  <si>
    <t>8</t>
  </si>
  <si>
    <t>4</t>
  </si>
  <si>
    <t>5</t>
  </si>
  <si>
    <t>12</t>
  </si>
  <si>
    <t>11</t>
  </si>
  <si>
    <t>10</t>
  </si>
  <si>
    <t>7</t>
  </si>
  <si>
    <t>1</t>
  </si>
  <si>
    <t>6</t>
  </si>
  <si>
    <t xml:space="preserve">DANH SÁCH VIÊN CHỨC TRẠM Y TẾ ĐIỀU CHỈNH LƯƠNG CƠ SỞ 2018  </t>
  </si>
  <si>
    <t>Các khoản đóng góp 23,5%</t>
  </si>
  <si>
    <t>Tổng hệ số</t>
  </si>
  <si>
    <t>Thành tiền/ tháng (LCS 1390000)</t>
  </si>
  <si>
    <t>Vkhung</t>
  </si>
  <si>
    <t>Kiêm nhiệm</t>
  </si>
  <si>
    <t>Bảo lưu</t>
  </si>
  <si>
    <t>Tổng hệ số phụ cấp</t>
  </si>
  <si>
    <t xml:space="preserve">  %</t>
  </si>
  <si>
    <t>28/08/1966</t>
  </si>
  <si>
    <t>25/09/1972</t>
  </si>
  <si>
    <t>16/05/1969</t>
  </si>
  <si>
    <t>21/06/1971</t>
  </si>
  <si>
    <t>15/03/1988</t>
  </si>
  <si>
    <t>Vi Văn Sinh</t>
  </si>
  <si>
    <t>19/12/1962</t>
  </si>
  <si>
    <t>17/05/1964</t>
  </si>
  <si>
    <t>21/07/1970</t>
  </si>
  <si>
    <t>21/02/1978</t>
  </si>
  <si>
    <t>15/10/1977</t>
  </si>
  <si>
    <t>Đặng Ngọc Linh</t>
  </si>
  <si>
    <t>Quỳ Châu, ngày  10  tháng  8  năm 2018</t>
  </si>
  <si>
    <t xml:space="preserve">    NGƯỜI LẬP BIỂU</t>
  </si>
  <si>
    <t>Đăng Tân Minh</t>
  </si>
  <si>
    <t>( Đơn vị:  đồng )</t>
  </si>
  <si>
    <t>15</t>
  </si>
  <si>
    <t>2</t>
  </si>
  <si>
    <t>Ktra</t>
  </si>
  <si>
    <t>21</t>
  </si>
  <si>
    <t xml:space="preserve"> Trạm Y tế Châu Nga</t>
  </si>
  <si>
    <t xml:space="preserve"> Trạm Y tế Diên Lãm</t>
  </si>
  <si>
    <t>02007</t>
  </si>
  <si>
    <t>04</t>
  </si>
  <si>
    <t xml:space="preserve"> GIÁM ĐỐC</t>
  </si>
  <si>
    <t>Quỳ Châu, ngày 08 tháng 8 năm 2019</t>
  </si>
  <si>
    <t xml:space="preserve">cập nhật mới nhất , chưa tuyệt đối </t>
  </si>
  <si>
    <t>Ưu đãi tăng , giảm</t>
  </si>
  <si>
    <t>Chức vụ tăng, giảm</t>
  </si>
  <si>
    <t>H số giảm</t>
  </si>
  <si>
    <t>DANH SÁCH CÁN BỘ TRUNG TÂM Y TẾ THAY ĐỔI PHỤ CẤP CHỨC VỤ</t>
  </si>
  <si>
    <t>Lương Thi Hà</t>
  </si>
  <si>
    <t>Chăm sóc bệnh nhân nhi</t>
  </si>
  <si>
    <t>Bác sĩ  CKĐH Xét nghiệm truyền nhiễm</t>
  </si>
  <si>
    <t>Chăm sóc BN HIV/ARV</t>
  </si>
  <si>
    <t>Chăm sóc BN HIV/ARV, Methadone</t>
  </si>
  <si>
    <t>Trung tâm y tế</t>
  </si>
  <si>
    <t>khám điều trị bệnh nhi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</si>
</sst>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0.000"/>
    <numFmt numFmtId="165" formatCode="[$-1010000]d/m/yyyy;@"/>
    <numFmt numFmtId="166" formatCode="0.0"/>
    <numFmt numFmtId="167" formatCode="_-* #,##0.00\ _₫_-;\-* #,##0.00\ _₫_-;_-* &quot;-&quot;??\ _₫_-;_-@_-"/>
    <numFmt numFmtId="168" formatCode="_(* #,##0_);_(* \(#,##0\);_(* &quot;-&quot;??_);_(@_)"/>
    <numFmt numFmtId="169" formatCode="#,##0.000"/>
    <numFmt numFmtId="170" formatCode="_(* #,##0.000_);_(* \(#,##0.000\);_(* &quot;-&quot;??_);_(@_)"/>
    <numFmt numFmtId="171" formatCode="0.0000"/>
    <numFmt numFmtId="172" formatCode="0.00;[Red]0.00"/>
    <numFmt numFmtId="173" formatCode="mm/dd/yy"/>
    <numFmt numFmtId="174" formatCode="0;[Red]0"/>
    <numFmt numFmtId="175" formatCode="0.000;[Red]0.000"/>
    <numFmt numFmtId="176" formatCode="mm/dd/yy;@"/>
    <numFmt numFmtId="177" formatCode="_-* #,##0\ _₫_-;\-* #,##0\ _₫_-;_-* &quot;-&quot;??\ _₫_-;_-@_-"/>
  </numFmts>
  <fonts count="1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Arial"/>
      <family val="2"/>
      <charset val="163"/>
    </font>
    <font>
      <b/>
      <sz val="14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color theme="1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9"/>
      <name val="Times New Roman"/>
      <family val="1"/>
      <charset val="163"/>
    </font>
    <font>
      <b/>
      <sz val="9"/>
      <name val="Times New Roman"/>
      <family val="1"/>
    </font>
    <font>
      <i/>
      <sz val="14"/>
      <color theme="1"/>
      <name val="Cambria"/>
      <family val="1"/>
      <charset val="163"/>
      <scheme val="major"/>
    </font>
    <font>
      <b/>
      <i/>
      <sz val="14"/>
      <color theme="1"/>
      <name val="Cambria"/>
      <family val="1"/>
      <charset val="163"/>
      <scheme val="major"/>
    </font>
    <font>
      <b/>
      <sz val="10"/>
      <name val="Cambria"/>
      <family val="1"/>
      <charset val="163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sz val="14"/>
      <color rgb="FFFF0000"/>
      <name val="Cambria"/>
      <family val="1"/>
      <charset val="163"/>
      <scheme val="major"/>
    </font>
    <font>
      <b/>
      <sz val="9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b/>
      <i/>
      <sz val="12"/>
      <name val="Cambria"/>
      <family val="1"/>
      <charset val="163"/>
      <scheme val="major"/>
    </font>
    <font>
      <sz val="8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charset val="163"/>
      <scheme val="major"/>
    </font>
    <font>
      <i/>
      <sz val="11"/>
      <color theme="1"/>
      <name val="Cambria"/>
      <family val="1"/>
      <charset val="163"/>
      <scheme val="major"/>
    </font>
    <font>
      <sz val="11"/>
      <color theme="1"/>
      <name val="Times New Roman"/>
      <family val="1"/>
      <charset val="163"/>
    </font>
    <font>
      <b/>
      <sz val="14"/>
      <color rgb="FFFF0000"/>
      <name val="Cambria"/>
      <family val="1"/>
      <charset val="163"/>
      <scheme val="major"/>
    </font>
    <font>
      <b/>
      <sz val="9"/>
      <color theme="1"/>
      <name val="Cambria"/>
      <family val="1"/>
      <charset val="163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charset val="163"/>
      <scheme val="major"/>
    </font>
    <font>
      <sz val="9"/>
      <color theme="1"/>
      <name val="Calibri"/>
      <family val="2"/>
      <scheme val="minor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name val="Cambria"/>
      <family val="1"/>
      <charset val="163"/>
      <scheme val="maj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8"/>
      <color rgb="FFFF0000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mbria"/>
      <family val="1"/>
      <charset val="163"/>
      <scheme val="maj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  <charset val="163"/>
    </font>
    <font>
      <b/>
      <sz val="10"/>
      <color theme="1"/>
      <name val="Calibri"/>
      <family val="2"/>
      <scheme val="minor"/>
    </font>
    <font>
      <i/>
      <sz val="14"/>
      <name val="Cambria"/>
      <family val="1"/>
      <charset val="163"/>
      <scheme val="major"/>
    </font>
    <font>
      <sz val="8"/>
      <name val="Times New Roman"/>
      <family val="1"/>
    </font>
    <font>
      <sz val="11"/>
      <color indexed="8"/>
      <name val="Cambria"/>
      <family val="1"/>
      <charset val="163"/>
      <scheme val="major"/>
    </font>
    <font>
      <sz val="11"/>
      <color rgb="FFFF0000"/>
      <name val="Cambria"/>
      <family val="1"/>
      <charset val="163"/>
      <scheme val="major"/>
    </font>
    <font>
      <b/>
      <sz val="11"/>
      <color rgb="FFFF0000"/>
      <name val="Cambria"/>
      <family val="1"/>
      <charset val="163"/>
      <scheme val="major"/>
    </font>
    <font>
      <b/>
      <i/>
      <sz val="11"/>
      <color theme="1"/>
      <name val="Cambria"/>
      <family val="1"/>
      <charset val="163"/>
      <scheme val="major"/>
    </font>
    <font>
      <sz val="11"/>
      <color rgb="FFFF0000"/>
      <name val="Times New Roman"/>
      <family val="1"/>
      <charset val="163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i/>
      <sz val="12"/>
      <color theme="1"/>
      <name val="Cambria"/>
      <family val="1"/>
      <charset val="163"/>
      <scheme val="major"/>
    </font>
    <font>
      <b/>
      <i/>
      <sz val="9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.VnTimeH"/>
      <family val="2"/>
    </font>
    <font>
      <b/>
      <sz val="14"/>
      <name val=".VnTime"/>
      <family val="2"/>
    </font>
    <font>
      <sz val="14"/>
      <name val=".VnTimeH"/>
      <family val="2"/>
    </font>
    <font>
      <b/>
      <sz val="12"/>
      <name val=".VnTime"/>
      <family val="2"/>
    </font>
    <font>
      <sz val="11"/>
      <name val=".VnTime"/>
      <family val="2"/>
    </font>
    <font>
      <sz val="11"/>
      <name val="Cambria"/>
      <family val="1"/>
      <charset val="163"/>
      <scheme val="major"/>
    </font>
    <font>
      <i/>
      <sz val="14"/>
      <name val="Times New Roman"/>
      <family val="1"/>
      <charset val="163"/>
    </font>
    <font>
      <i/>
      <sz val="12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9"/>
      <color rgb="FFFF0000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b/>
      <i/>
      <sz val="11"/>
      <name val="Times New Roman"/>
      <family val="1"/>
      <charset val="163"/>
    </font>
    <font>
      <i/>
      <sz val="9"/>
      <name val="Times New Roman"/>
      <family val="1"/>
    </font>
    <font>
      <b/>
      <i/>
      <sz val="12"/>
      <name val="Times New Roman"/>
      <family val="1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i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  <charset val="163"/>
    </font>
    <font>
      <b/>
      <i/>
      <sz val="14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sz val="9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9"/>
      <color theme="1"/>
      <name val="Calibri"/>
      <family val="2"/>
      <charset val="163"/>
      <scheme val="minor"/>
    </font>
    <font>
      <i/>
      <sz val="9"/>
      <name val="Times New Roman"/>
      <family val="1"/>
      <charset val="163"/>
    </font>
    <font>
      <b/>
      <sz val="9"/>
      <color theme="1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3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7">
    <xf numFmtId="0" fontId="0" fillId="0" borderId="0" xfId="0"/>
    <xf numFmtId="0" fontId="3" fillId="0" borderId="0" xfId="1"/>
    <xf numFmtId="0" fontId="14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/>
    <xf numFmtId="165" fontId="14" fillId="0" borderId="0" xfId="1" applyNumberFormat="1" applyFont="1"/>
    <xf numFmtId="0" fontId="16" fillId="0" borderId="0" xfId="1" applyFont="1" applyAlignment="1"/>
    <xf numFmtId="0" fontId="15" fillId="0" borderId="0" xfId="1" applyFont="1"/>
    <xf numFmtId="0" fontId="16" fillId="0" borderId="0" xfId="1" applyFont="1"/>
    <xf numFmtId="0" fontId="18" fillId="0" borderId="7" xfId="1" applyFont="1" applyBorder="1" applyAlignment="1">
      <alignment horizontal="center" vertical="center"/>
    </xf>
    <xf numFmtId="0" fontId="8" fillId="0" borderId="0" xfId="1" applyFont="1"/>
    <xf numFmtId="0" fontId="6" fillId="0" borderId="0" xfId="1" applyFont="1"/>
    <xf numFmtId="0" fontId="6" fillId="0" borderId="0" xfId="1" applyFont="1" applyAlignment="1"/>
    <xf numFmtId="0" fontId="0" fillId="0" borderId="0" xfId="0"/>
    <xf numFmtId="0" fontId="30" fillId="0" borderId="0" xfId="0" applyFont="1"/>
    <xf numFmtId="0" fontId="30" fillId="0" borderId="0" xfId="0" applyFont="1" applyAlignment="1">
      <alignment vertical="center"/>
    </xf>
    <xf numFmtId="0" fontId="31" fillId="0" borderId="0" xfId="20" applyFont="1" applyAlignment="1">
      <alignment horizontal="center"/>
    </xf>
    <xf numFmtId="0" fontId="32" fillId="0" borderId="0" xfId="20" applyFont="1" applyAlignment="1"/>
    <xf numFmtId="0" fontId="31" fillId="0" borderId="0" xfId="20" applyFont="1"/>
    <xf numFmtId="0" fontId="35" fillId="0" borderId="22" xfId="20" applyFont="1" applyBorder="1"/>
    <xf numFmtId="0" fontId="35" fillId="0" borderId="22" xfId="20" applyFont="1" applyBorder="1" applyAlignment="1">
      <alignment horizontal="center"/>
    </xf>
    <xf numFmtId="0" fontId="30" fillId="0" borderId="22" xfId="0" applyFont="1" applyBorder="1"/>
    <xf numFmtId="0" fontId="34" fillId="0" borderId="21" xfId="20" applyFont="1" applyBorder="1" applyAlignment="1"/>
    <xf numFmtId="0" fontId="34" fillId="0" borderId="4" xfId="20" applyFont="1" applyBorder="1" applyAlignment="1"/>
    <xf numFmtId="0" fontId="8" fillId="0" borderId="4" xfId="0" applyFont="1" applyBorder="1"/>
    <xf numFmtId="0" fontId="8" fillId="0" borderId="0" xfId="0" applyFont="1"/>
    <xf numFmtId="0" fontId="37" fillId="0" borderId="8" xfId="20" applyFont="1" applyBorder="1" applyAlignment="1">
      <alignment horizontal="center"/>
    </xf>
    <xf numFmtId="0" fontId="37" fillId="3" borderId="1" xfId="20" applyFont="1" applyFill="1" applyBorder="1"/>
    <xf numFmtId="14" fontId="37" fillId="3" borderId="1" xfId="20" applyNumberFormat="1" applyFont="1" applyFill="1" applyBorder="1" applyAlignment="1">
      <alignment horizontal="center"/>
    </xf>
    <xf numFmtId="3" fontId="37" fillId="0" borderId="1" xfId="20" applyNumberFormat="1" applyFont="1" applyFill="1" applyBorder="1" applyAlignment="1">
      <alignment horizontal="center" vertical="center"/>
    </xf>
    <xf numFmtId="14" fontId="37" fillId="0" borderId="1" xfId="20" applyNumberFormat="1" applyFont="1" applyFill="1" applyBorder="1" applyAlignment="1">
      <alignment horizontal="center" vertical="center"/>
    </xf>
    <xf numFmtId="0" fontId="37" fillId="0" borderId="1" xfId="20" applyFont="1" applyBorder="1" applyAlignment="1">
      <alignment horizontal="center" vertical="center" wrapText="1"/>
    </xf>
    <xf numFmtId="0" fontId="8" fillId="0" borderId="1" xfId="0" applyFont="1" applyBorder="1"/>
    <xf numFmtId="0" fontId="37" fillId="3" borderId="1" xfId="20" applyFont="1" applyFill="1" applyBorder="1" applyAlignment="1">
      <alignment horizontal="center"/>
    </xf>
    <xf numFmtId="164" fontId="37" fillId="3" borderId="1" xfId="20" applyNumberFormat="1" applyFont="1" applyFill="1" applyBorder="1" applyAlignment="1">
      <alignment horizontal="center"/>
    </xf>
    <xf numFmtId="0" fontId="34" fillId="0" borderId="8" xfId="20" applyFont="1" applyBorder="1" applyAlignment="1"/>
    <xf numFmtId="0" fontId="34" fillId="0" borderId="1" xfId="20" applyFont="1" applyBorder="1" applyAlignment="1"/>
    <xf numFmtId="14" fontId="34" fillId="0" borderId="1" xfId="20" applyNumberFormat="1" applyFont="1" applyBorder="1" applyAlignment="1"/>
    <xf numFmtId="0" fontId="8" fillId="0" borderId="1" xfId="20" applyFont="1" applyBorder="1" applyAlignment="1">
      <alignment horizontal="center"/>
    </xf>
    <xf numFmtId="165" fontId="37" fillId="3" borderId="1" xfId="20" applyNumberFormat="1" applyFont="1" applyFill="1" applyBorder="1" applyAlignment="1">
      <alignment horizontal="center"/>
    </xf>
    <xf numFmtId="14" fontId="38" fillId="0" borderId="1" xfId="20" applyNumberFormat="1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4" fontId="37" fillId="0" borderId="1" xfId="20" applyNumberFormat="1" applyFont="1" applyBorder="1" applyAlignment="1">
      <alignment horizontal="center" vertical="center" wrapText="1"/>
    </xf>
    <xf numFmtId="0" fontId="38" fillId="0" borderId="8" xfId="20" applyFont="1" applyBorder="1" applyAlignment="1">
      <alignment horizontal="center"/>
    </xf>
    <xf numFmtId="0" fontId="38" fillId="3" borderId="1" xfId="20" applyFont="1" applyFill="1" applyBorder="1"/>
    <xf numFmtId="14" fontId="38" fillId="3" borderId="1" xfId="20" applyNumberFormat="1" applyFont="1" applyFill="1" applyBorder="1" applyAlignment="1">
      <alignment horizontal="center"/>
    </xf>
    <xf numFmtId="3" fontId="38" fillId="0" borderId="1" xfId="20" applyNumberFormat="1" applyFont="1" applyFill="1" applyBorder="1" applyAlignment="1">
      <alignment horizontal="center" vertical="center"/>
    </xf>
    <xf numFmtId="14" fontId="38" fillId="0" borderId="1" xfId="20" applyNumberFormat="1" applyFont="1" applyFill="1" applyBorder="1" applyAlignment="1">
      <alignment horizontal="center" vertical="center"/>
    </xf>
    <xf numFmtId="0" fontId="38" fillId="0" borderId="1" xfId="20" applyFont="1" applyBorder="1" applyAlignment="1">
      <alignment horizontal="center"/>
    </xf>
    <xf numFmtId="0" fontId="34" fillId="3" borderId="1" xfId="20" applyFont="1" applyFill="1" applyBorder="1" applyAlignment="1"/>
    <xf numFmtId="14" fontId="34" fillId="3" borderId="1" xfId="20" applyNumberFormat="1" applyFont="1" applyFill="1" applyBorder="1" applyAlignment="1"/>
    <xf numFmtId="0" fontId="37" fillId="0" borderId="1" xfId="20" applyFont="1" applyBorder="1" applyAlignment="1">
      <alignment wrapText="1"/>
    </xf>
    <xf numFmtId="14" fontId="37" fillId="0" borderId="1" xfId="20" applyNumberFormat="1" applyFont="1" applyBorder="1" applyAlignment="1">
      <alignment wrapText="1"/>
    </xf>
    <xf numFmtId="0" fontId="30" fillId="0" borderId="9" xfId="0" applyFont="1" applyBorder="1"/>
    <xf numFmtId="0" fontId="39" fillId="0" borderId="0" xfId="20" applyFont="1" applyBorder="1" applyAlignment="1">
      <alignment vertical="center"/>
    </xf>
    <xf numFmtId="0" fontId="39" fillId="0" borderId="0" xfId="20" applyFont="1" applyBorder="1" applyAlignment="1">
      <alignment horizontal="center" vertical="center"/>
    </xf>
    <xf numFmtId="0" fontId="37" fillId="0" borderId="0" xfId="20" applyFont="1" applyAlignment="1">
      <alignment horizontal="center"/>
    </xf>
    <xf numFmtId="0" fontId="33" fillId="0" borderId="0" xfId="20" applyFont="1" applyAlignment="1"/>
    <xf numFmtId="0" fontId="37" fillId="0" borderId="0" xfId="20" applyFont="1"/>
    <xf numFmtId="0" fontId="37" fillId="0" borderId="22" xfId="20" applyFont="1" applyBorder="1"/>
    <xf numFmtId="166" fontId="38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6" fontId="38" fillId="2" borderId="1" xfId="0" applyNumberFormat="1" applyFont="1" applyFill="1" applyBorder="1" applyAlignment="1">
      <alignment horizontal="center"/>
    </xf>
    <xf numFmtId="0" fontId="34" fillId="3" borderId="1" xfId="0" applyFont="1" applyFill="1" applyBorder="1" applyAlignment="1"/>
    <xf numFmtId="0" fontId="33" fillId="0" borderId="0" xfId="20" applyFont="1" applyBorder="1" applyAlignment="1">
      <alignment vertical="center"/>
    </xf>
    <xf numFmtId="0" fontId="38" fillId="0" borderId="1" xfId="20" applyFont="1" applyBorder="1" applyAlignment="1">
      <alignment horizontal="center" vertical="center" wrapText="1"/>
    </xf>
    <xf numFmtId="14" fontId="8" fillId="0" borderId="1" xfId="20" applyNumberFormat="1" applyFont="1" applyBorder="1" applyAlignment="1">
      <alignment horizontal="center"/>
    </xf>
    <xf numFmtId="0" fontId="38" fillId="0" borderId="1" xfId="0" applyFont="1" applyBorder="1"/>
    <xf numFmtId="0" fontId="38" fillId="0" borderId="0" xfId="0" applyFont="1"/>
    <xf numFmtId="0" fontId="38" fillId="3" borderId="1" xfId="20" applyFont="1" applyFill="1" applyBorder="1" applyAlignment="1">
      <alignment horizontal="center"/>
    </xf>
    <xf numFmtId="0" fontId="34" fillId="0" borderId="1" xfId="20" applyFont="1" applyBorder="1" applyAlignment="1">
      <alignment horizontal="center"/>
    </xf>
    <xf numFmtId="0" fontId="34" fillId="3" borderId="1" xfId="20" applyFont="1" applyFill="1" applyBorder="1" applyAlignment="1">
      <alignment horizontal="center"/>
    </xf>
    <xf numFmtId="0" fontId="40" fillId="0" borderId="22" xfId="0" applyFont="1" applyBorder="1"/>
    <xf numFmtId="0" fontId="35" fillId="2" borderId="1" xfId="0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/>
    </xf>
    <xf numFmtId="0" fontId="42" fillId="3" borderId="1" xfId="0" applyFont="1" applyFill="1" applyBorder="1" applyAlignment="1"/>
    <xf numFmtId="0" fontId="40" fillId="0" borderId="9" xfId="0" applyFont="1" applyBorder="1"/>
    <xf numFmtId="0" fontId="37" fillId="3" borderId="1" xfId="20" applyFont="1" applyFill="1" applyBorder="1" applyAlignment="1"/>
    <xf numFmtId="3" fontId="37" fillId="0" borderId="1" xfId="2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wrapText="1"/>
    </xf>
    <xf numFmtId="14" fontId="37" fillId="0" borderId="1" xfId="20" applyNumberFormat="1" applyFont="1" applyFill="1" applyBorder="1" applyAlignment="1">
      <alignment horizontal="center"/>
    </xf>
    <xf numFmtId="0" fontId="37" fillId="0" borderId="1" xfId="20" applyFont="1" applyBorder="1" applyAlignment="1">
      <alignment horizontal="center" wrapText="1"/>
    </xf>
    <xf numFmtId="0" fontId="8" fillId="0" borderId="1" xfId="0" applyFont="1" applyBorder="1" applyAlignment="1"/>
    <xf numFmtId="0" fontId="35" fillId="2" borderId="1" xfId="0" applyFont="1" applyFill="1" applyBorder="1" applyAlignment="1">
      <alignment horizontal="center" wrapText="1"/>
    </xf>
    <xf numFmtId="0" fontId="8" fillId="0" borderId="0" xfId="0" applyFont="1" applyAlignment="1"/>
    <xf numFmtId="0" fontId="0" fillId="0" borderId="0" xfId="0" applyAlignment="1"/>
    <xf numFmtId="0" fontId="10" fillId="3" borderId="0" xfId="20" applyFont="1" applyFill="1"/>
    <xf numFmtId="0" fontId="43" fillId="3" borderId="0" xfId="20" applyFont="1" applyFill="1"/>
    <xf numFmtId="0" fontId="0" fillId="0" borderId="0" xfId="0" applyAlignment="1">
      <alignment vertical="center" wrapText="1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30" fillId="0" borderId="9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0" fillId="0" borderId="1" xfId="0" applyFont="1" applyBorder="1" applyAlignment="1">
      <alignment vertical="center" wrapText="1"/>
    </xf>
    <xf numFmtId="14" fontId="40" fillId="0" borderId="1" xfId="0" applyNumberFormat="1" applyFont="1" applyBorder="1" applyAlignment="1">
      <alignment vertical="center" wrapText="1"/>
    </xf>
    <xf numFmtId="0" fontId="40" fillId="0" borderId="1" xfId="0" applyFont="1" applyBorder="1" applyAlignment="1">
      <alignment horizontal="right" vertical="center" wrapText="1"/>
    </xf>
    <xf numFmtId="0" fontId="44" fillId="0" borderId="0" xfId="0" applyFont="1"/>
    <xf numFmtId="0" fontId="40" fillId="0" borderId="9" xfId="0" applyFont="1" applyBorder="1" applyAlignment="1">
      <alignment vertical="center" wrapText="1"/>
    </xf>
    <xf numFmtId="14" fontId="40" fillId="0" borderId="9" xfId="0" applyNumberFormat="1" applyFont="1" applyBorder="1" applyAlignment="1">
      <alignment vertical="center" wrapText="1"/>
    </xf>
    <xf numFmtId="0" fontId="40" fillId="0" borderId="9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0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right" vertical="center" wrapText="1"/>
    </xf>
    <xf numFmtId="0" fontId="46" fillId="0" borderId="0" xfId="0" applyFont="1"/>
    <xf numFmtId="0" fontId="45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1" fillId="0" borderId="0" xfId="20" applyFont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4" fillId="0" borderId="0" xfId="1" applyFont="1" applyAlignment="1"/>
    <xf numFmtId="0" fontId="0" fillId="0" borderId="0" xfId="0" applyAlignment="1">
      <alignment wrapText="1"/>
    </xf>
    <xf numFmtId="14" fontId="8" fillId="0" borderId="1" xfId="0" applyNumberFormat="1" applyFont="1" applyBorder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wrapText="1"/>
    </xf>
    <xf numFmtId="0" fontId="53" fillId="0" borderId="0" xfId="0" applyFont="1"/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left" vertical="center" wrapText="1"/>
    </xf>
    <xf numFmtId="14" fontId="57" fillId="0" borderId="1" xfId="0" applyNumberFormat="1" applyFont="1" applyBorder="1" applyAlignment="1">
      <alignment horizontal="left" vertical="center" wrapText="1"/>
    </xf>
    <xf numFmtId="164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2" fontId="56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53" fillId="0" borderId="1" xfId="0" applyFont="1" applyBorder="1" applyAlignment="1"/>
    <xf numFmtId="0" fontId="30" fillId="0" borderId="1" xfId="0" applyFont="1" applyBorder="1"/>
    <xf numFmtId="0" fontId="56" fillId="0" borderId="1" xfId="0" applyFont="1" applyBorder="1" applyAlignment="1">
      <alignment horizontal="right" vertical="center"/>
    </xf>
    <xf numFmtId="0" fontId="30" fillId="0" borderId="1" xfId="0" applyFont="1" applyBorder="1" applyAlignment="1">
      <alignment horizontal="right"/>
    </xf>
    <xf numFmtId="0" fontId="56" fillId="0" borderId="1" xfId="0" applyFont="1" applyBorder="1" applyAlignment="1">
      <alignment horizontal="center"/>
    </xf>
    <xf numFmtId="0" fontId="56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left" vertical="center" wrapText="1"/>
    </xf>
    <xf numFmtId="14" fontId="57" fillId="0" borderId="4" xfId="0" applyNumberFormat="1" applyFont="1" applyBorder="1" applyAlignment="1">
      <alignment horizontal="left" vertical="center" wrapText="1"/>
    </xf>
    <xf numFmtId="0" fontId="56" fillId="0" borderId="4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right" vertical="center"/>
    </xf>
    <xf numFmtId="0" fontId="56" fillId="0" borderId="2" xfId="0" applyFont="1" applyBorder="1" applyAlignment="1">
      <alignment horizontal="center" vertical="center" wrapText="1"/>
    </xf>
    <xf numFmtId="0" fontId="56" fillId="0" borderId="1" xfId="0" applyFont="1" applyBorder="1" applyAlignment="1"/>
    <xf numFmtId="0" fontId="7" fillId="0" borderId="2" xfId="0" applyFont="1" applyBorder="1" applyAlignment="1">
      <alignment horizontal="right"/>
    </xf>
    <xf numFmtId="0" fontId="55" fillId="0" borderId="2" xfId="0" applyFont="1" applyBorder="1" applyAlignment="1">
      <alignment horizontal="center"/>
    </xf>
    <xf numFmtId="168" fontId="56" fillId="0" borderId="4" xfId="22" applyNumberFormat="1" applyFont="1" applyBorder="1" applyAlignment="1">
      <alignment horizontal="center" vertical="center" wrapText="1"/>
    </xf>
    <xf numFmtId="0" fontId="31" fillId="0" borderId="0" xfId="20" applyFont="1" applyAlignment="1"/>
    <xf numFmtId="0" fontId="8" fillId="0" borderId="8" xfId="20" applyFont="1" applyBorder="1" applyAlignment="1">
      <alignment horizontal="center"/>
    </xf>
    <xf numFmtId="0" fontId="8" fillId="3" borderId="1" xfId="20" applyFont="1" applyFill="1" applyBorder="1"/>
    <xf numFmtId="0" fontId="8" fillId="3" borderId="1" xfId="20" applyFont="1" applyFill="1" applyBorder="1" applyAlignment="1">
      <alignment horizontal="center"/>
    </xf>
    <xf numFmtId="3" fontId="8" fillId="0" borderId="1" xfId="20" applyNumberFormat="1" applyFont="1" applyFill="1" applyBorder="1" applyAlignment="1">
      <alignment horizontal="center" vertical="center"/>
    </xf>
    <xf numFmtId="14" fontId="8" fillId="0" borderId="1" xfId="20" applyNumberFormat="1" applyFont="1" applyFill="1" applyBorder="1" applyAlignment="1">
      <alignment horizontal="center" vertical="center"/>
    </xf>
    <xf numFmtId="0" fontId="8" fillId="0" borderId="1" xfId="20" applyFont="1" applyBorder="1" applyAlignment="1">
      <alignment horizontal="center" vertical="center" wrapText="1"/>
    </xf>
    <xf numFmtId="14" fontId="8" fillId="3" borderId="1" xfId="2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0" fillId="0" borderId="0" xfId="0" applyFont="1"/>
    <xf numFmtId="0" fontId="34" fillId="0" borderId="4" xfId="0" applyFont="1" applyBorder="1" applyAlignment="1"/>
    <xf numFmtId="14" fontId="34" fillId="0" borderId="4" xfId="20" applyNumberFormat="1" applyFont="1" applyBorder="1" applyAlignment="1"/>
    <xf numFmtId="0" fontId="34" fillId="0" borderId="4" xfId="20" applyFont="1" applyBorder="1" applyAlignment="1">
      <alignment horizontal="center"/>
    </xf>
    <xf numFmtId="0" fontId="42" fillId="0" borderId="4" xfId="0" applyFont="1" applyBorder="1" applyAlignment="1"/>
    <xf numFmtId="0" fontId="38" fillId="0" borderId="0" xfId="20" applyFont="1" applyBorder="1" applyAlignment="1">
      <alignment horizontal="center"/>
    </xf>
    <xf numFmtId="0" fontId="38" fillId="3" borderId="0" xfId="20" applyFont="1" applyFill="1" applyBorder="1"/>
    <xf numFmtId="0" fontId="38" fillId="3" borderId="0" xfId="20" applyFont="1" applyFill="1" applyBorder="1" applyAlignment="1">
      <alignment horizontal="center"/>
    </xf>
    <xf numFmtId="3" fontId="38" fillId="0" borderId="0" xfId="2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 wrapText="1"/>
    </xf>
    <xf numFmtId="14" fontId="38" fillId="0" borderId="0" xfId="20" applyNumberFormat="1" applyFont="1" applyFill="1" applyBorder="1" applyAlignment="1">
      <alignment horizontal="center" vertical="center"/>
    </xf>
    <xf numFmtId="0" fontId="38" fillId="0" borderId="0" xfId="20" applyFont="1" applyBorder="1" applyAlignment="1">
      <alignment horizontal="center" vertical="center" wrapText="1"/>
    </xf>
    <xf numFmtId="14" fontId="38" fillId="0" borderId="0" xfId="20" applyNumberFormat="1" applyFont="1" applyBorder="1" applyAlignment="1">
      <alignment horizontal="center" vertical="center" wrapText="1"/>
    </xf>
    <xf numFmtId="0" fontId="38" fillId="0" borderId="0" xfId="0" applyFont="1" applyBorder="1"/>
    <xf numFmtId="0" fontId="4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8" fillId="0" borderId="15" xfId="20" applyFont="1" applyBorder="1" applyAlignment="1">
      <alignment horizontal="center"/>
    </xf>
    <xf numFmtId="0" fontId="38" fillId="3" borderId="9" xfId="20" applyFont="1" applyFill="1" applyBorder="1"/>
    <xf numFmtId="0" fontId="38" fillId="3" borderId="9" xfId="20" applyFont="1" applyFill="1" applyBorder="1" applyAlignment="1">
      <alignment horizontal="center"/>
    </xf>
    <xf numFmtId="3" fontId="38" fillId="0" borderId="9" xfId="20" applyNumberFormat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4" fontId="38" fillId="0" borderId="9" xfId="20" applyNumberFormat="1" applyFont="1" applyFill="1" applyBorder="1" applyAlignment="1">
      <alignment horizontal="center" vertical="center"/>
    </xf>
    <xf numFmtId="0" fontId="38" fillId="0" borderId="9" xfId="20" applyFont="1" applyBorder="1" applyAlignment="1">
      <alignment horizontal="center" vertical="center" wrapText="1"/>
    </xf>
    <xf numFmtId="14" fontId="38" fillId="0" borderId="9" xfId="20" applyNumberFormat="1" applyFont="1" applyBorder="1" applyAlignment="1">
      <alignment horizontal="center" vertical="center" wrapText="1"/>
    </xf>
    <xf numFmtId="0" fontId="38" fillId="0" borderId="9" xfId="0" applyFont="1" applyBorder="1"/>
    <xf numFmtId="0" fontId="41" fillId="2" borderId="9" xfId="0" applyFont="1" applyFill="1" applyBorder="1" applyAlignment="1">
      <alignment horizontal="center" vertical="center" wrapText="1"/>
    </xf>
    <xf numFmtId="0" fontId="38" fillId="0" borderId="22" xfId="20" applyFont="1" applyBorder="1" applyAlignment="1">
      <alignment horizontal="center"/>
    </xf>
    <xf numFmtId="0" fontId="38" fillId="3" borderId="22" xfId="20" applyFont="1" applyFill="1" applyBorder="1"/>
    <xf numFmtId="0" fontId="38" fillId="3" borderId="22" xfId="20" applyFont="1" applyFill="1" applyBorder="1" applyAlignment="1">
      <alignment horizontal="center"/>
    </xf>
    <xf numFmtId="3" fontId="38" fillId="0" borderId="22" xfId="20" applyNumberFormat="1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14" fontId="38" fillId="0" borderId="22" xfId="20" applyNumberFormat="1" applyFont="1" applyFill="1" applyBorder="1" applyAlignment="1">
      <alignment horizontal="center" vertical="center"/>
    </xf>
    <xf numFmtId="0" fontId="38" fillId="0" borderId="22" xfId="20" applyFont="1" applyBorder="1" applyAlignment="1">
      <alignment horizontal="center" vertical="center" wrapText="1"/>
    </xf>
    <xf numFmtId="14" fontId="38" fillId="0" borderId="22" xfId="20" applyNumberFormat="1" applyFont="1" applyBorder="1" applyAlignment="1">
      <alignment horizontal="center" vertical="center" wrapText="1"/>
    </xf>
    <xf numFmtId="0" fontId="38" fillId="0" borderId="22" xfId="0" applyFont="1" applyBorder="1"/>
    <xf numFmtId="0" fontId="41" fillId="2" borderId="22" xfId="0" applyFont="1" applyFill="1" applyBorder="1" applyAlignment="1">
      <alignment horizontal="center" vertical="center" wrapText="1"/>
    </xf>
    <xf numFmtId="0" fontId="36" fillId="0" borderId="0" xfId="20" applyFont="1" applyBorder="1" applyAlignment="1">
      <alignment horizontal="center" vertical="center"/>
    </xf>
    <xf numFmtId="2" fontId="33" fillId="2" borderId="0" xfId="0" applyNumberFormat="1" applyFont="1" applyFill="1" applyBorder="1" applyAlignment="1">
      <alignment horizontal="center" vertical="center"/>
    </xf>
    <xf numFmtId="14" fontId="36" fillId="0" borderId="0" xfId="20" applyNumberFormat="1" applyFont="1" applyBorder="1" applyAlignment="1">
      <alignment horizontal="center" vertical="center"/>
    </xf>
    <xf numFmtId="0" fontId="30" fillId="0" borderId="0" xfId="0" applyFont="1" applyBorder="1"/>
    <xf numFmtId="2" fontId="29" fillId="2" borderId="29" xfId="0" applyNumberFormat="1" applyFont="1" applyFill="1" applyBorder="1" applyAlignment="1">
      <alignment horizontal="center" vertical="center"/>
    </xf>
    <xf numFmtId="2" fontId="29" fillId="2" borderId="5" xfId="0" applyNumberFormat="1" applyFont="1" applyFill="1" applyBorder="1" applyAlignment="1">
      <alignment horizontal="center" vertical="center"/>
    </xf>
    <xf numFmtId="0" fontId="34" fillId="0" borderId="10" xfId="20" applyFont="1" applyBorder="1" applyAlignment="1"/>
    <xf numFmtId="0" fontId="37" fillId="0" borderId="10" xfId="20" applyFont="1" applyBorder="1" applyAlignment="1">
      <alignment horizontal="center" vertical="center" wrapText="1"/>
    </xf>
    <xf numFmtId="0" fontId="8" fillId="0" borderId="10" xfId="0" applyFont="1" applyBorder="1"/>
    <xf numFmtId="0" fontId="29" fillId="2" borderId="10" xfId="0" applyFont="1" applyFill="1" applyBorder="1" applyAlignment="1">
      <alignment horizontal="center" vertical="center" wrapText="1"/>
    </xf>
    <xf numFmtId="0" fontId="37" fillId="0" borderId="1" xfId="20" applyFont="1" applyBorder="1" applyAlignment="1">
      <alignment horizontal="center"/>
    </xf>
    <xf numFmtId="2" fontId="33" fillId="2" borderId="9" xfId="0" applyNumberFormat="1" applyFont="1" applyFill="1" applyBorder="1" applyAlignment="1">
      <alignment horizontal="center" vertical="center"/>
    </xf>
    <xf numFmtId="14" fontId="36" fillId="0" borderId="9" xfId="20" applyNumberFormat="1" applyFont="1" applyBorder="1" applyAlignment="1">
      <alignment horizontal="center" vertical="center"/>
    </xf>
    <xf numFmtId="2" fontId="29" fillId="2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/>
    <xf numFmtId="0" fontId="15" fillId="0" borderId="0" xfId="0" applyFont="1"/>
    <xf numFmtId="165" fontId="14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8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14" fillId="0" borderId="0" xfId="0" applyFont="1" applyAlignment="1"/>
    <xf numFmtId="0" fontId="61" fillId="0" borderId="0" xfId="0" applyFont="1" applyAlignment="1"/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27" fillId="0" borderId="9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164" fontId="27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top"/>
    </xf>
    <xf numFmtId="0" fontId="45" fillId="0" borderId="0" xfId="0" applyFont="1" applyAlignment="1"/>
    <xf numFmtId="164" fontId="0" fillId="0" borderId="0" xfId="0" applyNumberFormat="1"/>
    <xf numFmtId="164" fontId="11" fillId="0" borderId="9" xfId="0" applyNumberFormat="1" applyFont="1" applyBorder="1" applyAlignment="1">
      <alignment horizontal="center" vertical="center"/>
    </xf>
    <xf numFmtId="168" fontId="20" fillId="0" borderId="1" xfId="22" applyNumberFormat="1" applyFont="1" applyBorder="1" applyAlignment="1">
      <alignment horizontal="center" vertical="center" wrapText="1"/>
    </xf>
    <xf numFmtId="168" fontId="21" fillId="0" borderId="9" xfId="22" applyNumberFormat="1" applyFont="1" applyBorder="1" applyAlignment="1">
      <alignment horizontal="center" vertical="center" wrapText="1"/>
    </xf>
    <xf numFmtId="2" fontId="28" fillId="0" borderId="9" xfId="1" applyNumberFormat="1" applyFont="1" applyBorder="1" applyAlignment="1">
      <alignment horizontal="center" vertical="center"/>
    </xf>
    <xf numFmtId="2" fontId="64" fillId="0" borderId="1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65" fillId="0" borderId="0" xfId="0" applyFont="1"/>
    <xf numFmtId="0" fontId="67" fillId="0" borderId="0" xfId="1" applyFont="1" applyAlignment="1">
      <alignment horizontal="right"/>
    </xf>
    <xf numFmtId="0" fontId="68" fillId="0" borderId="0" xfId="1" applyFont="1" applyAlignment="1">
      <alignment horizontal="right"/>
    </xf>
    <xf numFmtId="0" fontId="64" fillId="0" borderId="0" xfId="1" applyFont="1" applyAlignment="1">
      <alignment horizontal="right"/>
    </xf>
    <xf numFmtId="0" fontId="69" fillId="0" borderId="0" xfId="1" applyFont="1" applyAlignment="1">
      <alignment horizontal="right"/>
    </xf>
    <xf numFmtId="0" fontId="71" fillId="0" borderId="2" xfId="1" applyFont="1" applyBorder="1" applyAlignment="1">
      <alignment horizontal="right" vertical="center"/>
    </xf>
    <xf numFmtId="0" fontId="71" fillId="0" borderId="2" xfId="1" applyFont="1" applyBorder="1" applyAlignment="1">
      <alignment horizontal="center" vertical="center"/>
    </xf>
    <xf numFmtId="0" fontId="64" fillId="0" borderId="1" xfId="2" applyFont="1" applyBorder="1" applyAlignment="1">
      <alignment horizontal="center" vertical="center"/>
    </xf>
    <xf numFmtId="0" fontId="64" fillId="0" borderId="1" xfId="2" applyFont="1" applyBorder="1" applyAlignment="1">
      <alignment horizontal="right" vertical="center"/>
    </xf>
    <xf numFmtId="164" fontId="64" fillId="0" borderId="1" xfId="2" applyNumberFormat="1" applyFont="1" applyBorder="1" applyAlignment="1">
      <alignment horizontal="right" vertical="center"/>
    </xf>
    <xf numFmtId="164" fontId="64" fillId="3" borderId="1" xfId="2" applyNumberFormat="1" applyFont="1" applyFill="1" applyBorder="1" applyAlignment="1">
      <alignment horizontal="center" vertical="center"/>
    </xf>
    <xf numFmtId="0" fontId="64" fillId="0" borderId="1" xfId="2" applyFont="1" applyFill="1" applyBorder="1" applyAlignment="1">
      <alignment horizontal="right" vertical="center"/>
    </xf>
    <xf numFmtId="0" fontId="64" fillId="0" borderId="2" xfId="1" applyFont="1" applyBorder="1" applyAlignment="1">
      <alignment horizontal="right" vertical="center"/>
    </xf>
    <xf numFmtId="0" fontId="70" fillId="0" borderId="13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49" fillId="0" borderId="9" xfId="1" applyFont="1" applyBorder="1" applyAlignment="1">
      <alignment horizontal="center" vertical="center"/>
    </xf>
    <xf numFmtId="2" fontId="49" fillId="0" borderId="9" xfId="1" applyNumberFormat="1" applyFont="1" applyBorder="1" applyAlignment="1">
      <alignment horizontal="center" vertical="center"/>
    </xf>
    <xf numFmtId="164" fontId="49" fillId="0" borderId="9" xfId="1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51" fillId="0" borderId="1" xfId="0" applyFont="1" applyBorder="1"/>
    <xf numFmtId="0" fontId="62" fillId="3" borderId="1" xfId="0" applyFont="1" applyFill="1" applyBorder="1"/>
    <xf numFmtId="14" fontId="62" fillId="3" borderId="1" xfId="0" applyNumberFormat="1" applyFont="1" applyFill="1" applyBorder="1" applyAlignment="1">
      <alignment horizontal="center"/>
    </xf>
    <xf numFmtId="0" fontId="40" fillId="0" borderId="0" xfId="0" applyFont="1"/>
    <xf numFmtId="0" fontId="48" fillId="0" borderId="0" xfId="0" applyFont="1" applyAlignment="1">
      <alignment vertical="center" wrapText="1"/>
    </xf>
    <xf numFmtId="0" fontId="74" fillId="0" borderId="0" xfId="0" applyFont="1"/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right" vertical="center" wrapText="1"/>
    </xf>
    <xf numFmtId="2" fontId="75" fillId="0" borderId="9" xfId="0" applyNumberFormat="1" applyFont="1" applyBorder="1" applyAlignment="1">
      <alignment horizontal="right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164" fontId="30" fillId="0" borderId="1" xfId="0" applyNumberFormat="1" applyFont="1" applyBorder="1" applyAlignment="1">
      <alignment horizontal="right" vertical="center" wrapText="1"/>
    </xf>
    <xf numFmtId="164" fontId="30" fillId="0" borderId="1" xfId="0" applyNumberFormat="1" applyFont="1" applyBorder="1" applyAlignment="1">
      <alignment vertical="center" wrapText="1"/>
    </xf>
    <xf numFmtId="169" fontId="30" fillId="0" borderId="1" xfId="0" applyNumberFormat="1" applyFont="1" applyBorder="1" applyAlignment="1">
      <alignment horizontal="right" vertical="center" wrapText="1"/>
    </xf>
    <xf numFmtId="0" fontId="75" fillId="0" borderId="9" xfId="0" applyFont="1" applyBorder="1" applyAlignment="1">
      <alignment horizontal="right" vertical="center" wrapText="1"/>
    </xf>
    <xf numFmtId="164" fontId="75" fillId="0" borderId="9" xfId="0" applyNumberFormat="1" applyFont="1" applyBorder="1" applyAlignment="1">
      <alignment horizontal="right" vertical="center" wrapText="1"/>
    </xf>
    <xf numFmtId="0" fontId="41" fillId="0" borderId="1" xfId="0" applyFont="1" applyBorder="1" applyAlignment="1">
      <alignment horizontal="right" vertical="center" wrapText="1"/>
    </xf>
    <xf numFmtId="164" fontId="40" fillId="0" borderId="1" xfId="0" applyNumberFormat="1" applyFont="1" applyBorder="1" applyAlignment="1">
      <alignment horizontal="right" vertical="center" wrapText="1"/>
    </xf>
    <xf numFmtId="0" fontId="25" fillId="0" borderId="0" xfId="1" applyFont="1" applyAlignment="1"/>
    <xf numFmtId="0" fontId="64" fillId="0" borderId="5" xfId="1" applyFont="1" applyBorder="1" applyAlignment="1">
      <alignment horizontal="right" vertical="center" wrapText="1"/>
    </xf>
    <xf numFmtId="0" fontId="71" fillId="0" borderId="5" xfId="1" applyFont="1" applyBorder="1" applyAlignment="1">
      <alignment horizontal="right" vertical="center" wrapText="1"/>
    </xf>
    <xf numFmtId="0" fontId="70" fillId="0" borderId="5" xfId="1" applyFont="1" applyBorder="1" applyAlignment="1">
      <alignment horizontal="right" vertical="center" wrapText="1"/>
    </xf>
    <xf numFmtId="0" fontId="64" fillId="0" borderId="5" xfId="1" applyFont="1" applyBorder="1" applyAlignment="1">
      <alignment horizontal="right" vertical="center"/>
    </xf>
    <xf numFmtId="0" fontId="71" fillId="0" borderId="5" xfId="1" applyFont="1" applyBorder="1" applyAlignment="1">
      <alignment horizontal="right" vertical="center"/>
    </xf>
    <xf numFmtId="0" fontId="64" fillId="0" borderId="10" xfId="2" applyFont="1" applyBorder="1" applyAlignment="1">
      <alignment horizontal="center" vertical="center"/>
    </xf>
    <xf numFmtId="2" fontId="64" fillId="0" borderId="10" xfId="2" applyNumberFormat="1" applyFont="1" applyBorder="1" applyAlignment="1">
      <alignment horizontal="center" vertical="center"/>
    </xf>
    <xf numFmtId="0" fontId="64" fillId="0" borderId="10" xfId="2" applyFont="1" applyBorder="1" applyAlignment="1">
      <alignment horizontal="right" vertical="center"/>
    </xf>
    <xf numFmtId="164" fontId="64" fillId="0" borderId="10" xfId="2" applyNumberFormat="1" applyFont="1" applyBorder="1" applyAlignment="1">
      <alignment horizontal="right" vertical="center"/>
    </xf>
    <xf numFmtId="166" fontId="64" fillId="0" borderId="1" xfId="2" applyNumberFormat="1" applyFont="1" applyBorder="1" applyAlignment="1">
      <alignment horizontal="right" vertical="center"/>
    </xf>
    <xf numFmtId="0" fontId="68" fillId="0" borderId="22" xfId="1" applyFont="1" applyBorder="1" applyAlignment="1">
      <alignment horizontal="center"/>
    </xf>
    <xf numFmtId="0" fontId="31" fillId="0" borderId="0" xfId="20" applyFont="1" applyAlignment="1">
      <alignment horizontal="center"/>
    </xf>
    <xf numFmtId="0" fontId="36" fillId="0" borderId="9" xfId="20" applyFont="1" applyBorder="1" applyAlignment="1">
      <alignment horizontal="center" vertical="center"/>
    </xf>
    <xf numFmtId="0" fontId="76" fillId="0" borderId="1" xfId="20" applyFont="1" applyBorder="1" applyAlignment="1"/>
    <xf numFmtId="14" fontId="35" fillId="0" borderId="1" xfId="20" applyNumberFormat="1" applyFont="1" applyBorder="1" applyAlignment="1"/>
    <xf numFmtId="0" fontId="37" fillId="0" borderId="1" xfId="20" applyFont="1" applyBorder="1" applyAlignment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0" fontId="61" fillId="0" borderId="0" xfId="1" applyFont="1" applyAlignment="1"/>
    <xf numFmtId="0" fontId="17" fillId="0" borderId="0" xfId="1" applyFont="1" applyAlignment="1"/>
    <xf numFmtId="0" fontId="14" fillId="0" borderId="0" xfId="1" applyFont="1" applyAlignment="1"/>
    <xf numFmtId="0" fontId="7" fillId="0" borderId="2" xfId="0" applyFont="1" applyBorder="1" applyAlignment="1">
      <alignment horizontal="center" vertical="center" wrapText="1"/>
    </xf>
    <xf numFmtId="0" fontId="24" fillId="0" borderId="0" xfId="0" applyFont="1"/>
    <xf numFmtId="0" fontId="55" fillId="0" borderId="9" xfId="0" applyFont="1" applyBorder="1" applyAlignment="1">
      <alignment horizontal="center"/>
    </xf>
    <xf numFmtId="0" fontId="58" fillId="0" borderId="2" xfId="0" applyFont="1" applyBorder="1" applyAlignment="1">
      <alignment horizontal="left" wrapText="1"/>
    </xf>
    <xf numFmtId="14" fontId="58" fillId="0" borderId="2" xfId="0" applyNumberFormat="1" applyFont="1" applyBorder="1" applyAlignment="1">
      <alignment horizontal="left" wrapText="1"/>
    </xf>
    <xf numFmtId="0" fontId="55" fillId="0" borderId="2" xfId="0" applyFont="1" applyBorder="1" applyAlignment="1">
      <alignment horizontal="center" wrapText="1"/>
    </xf>
    <xf numFmtId="0" fontId="2" fillId="0" borderId="2" xfId="0" applyFont="1" applyBorder="1" applyAlignment="1"/>
    <xf numFmtId="0" fontId="7" fillId="0" borderId="2" xfId="0" applyFont="1" applyBorder="1" applyAlignment="1"/>
    <xf numFmtId="0" fontId="59" fillId="0" borderId="9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168" fontId="7" fillId="0" borderId="2" xfId="0" applyNumberFormat="1" applyFont="1" applyBorder="1" applyAlignment="1"/>
    <xf numFmtId="0" fontId="0" fillId="0" borderId="0" xfId="0" applyFont="1" applyAlignment="1"/>
    <xf numFmtId="0" fontId="2" fillId="0" borderId="0" xfId="0" applyFont="1" applyAlignment="1"/>
    <xf numFmtId="0" fontId="45" fillId="0" borderId="0" xfId="0" applyFont="1"/>
    <xf numFmtId="0" fontId="7" fillId="0" borderId="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left" wrapText="1"/>
    </xf>
    <xf numFmtId="0" fontId="78" fillId="0" borderId="10" xfId="12" applyFont="1" applyBorder="1" applyAlignment="1">
      <alignment horizontal="center" wrapText="1"/>
    </xf>
    <xf numFmtId="0" fontId="30" fillId="0" borderId="10" xfId="0" applyFont="1" applyBorder="1" applyAlignment="1"/>
    <xf numFmtId="0" fontId="79" fillId="0" borderId="10" xfId="0" applyFont="1" applyBorder="1" applyAlignment="1">
      <alignment horizontal="left" wrapText="1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wrapText="1"/>
    </xf>
    <xf numFmtId="0" fontId="78" fillId="0" borderId="1" xfId="12" applyFont="1" applyBorder="1" applyAlignment="1">
      <alignment horizontal="center" wrapText="1"/>
    </xf>
    <xf numFmtId="14" fontId="30" fillId="0" borderId="1" xfId="0" applyNumberFormat="1" applyFont="1" applyBorder="1" applyAlignment="1">
      <alignment horizontal="center" wrapText="1"/>
    </xf>
    <xf numFmtId="0" fontId="79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14" fontId="79" fillId="0" borderId="1" xfId="0" applyNumberFormat="1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9" xfId="0" applyFont="1" applyBorder="1" applyAlignment="1">
      <alignment horizontal="center" wrapText="1"/>
    </xf>
    <xf numFmtId="0" fontId="78" fillId="0" borderId="9" xfId="12" applyFont="1" applyBorder="1" applyAlignment="1">
      <alignment horizontal="center" wrapText="1"/>
    </xf>
    <xf numFmtId="0" fontId="79" fillId="0" borderId="9" xfId="0" applyFont="1" applyBorder="1" applyAlignment="1">
      <alignment horizontal="left" wrapText="1"/>
    </xf>
    <xf numFmtId="0" fontId="30" fillId="0" borderId="9" xfId="0" applyFont="1" applyBorder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6" fillId="0" borderId="0" xfId="0" applyFont="1" applyAlignment="1">
      <alignment horizontal="center" vertical="center" wrapText="1"/>
    </xf>
    <xf numFmtId="0" fontId="46" fillId="0" borderId="9" xfId="0" applyFont="1" applyBorder="1" applyAlignment="1">
      <alignment vertical="center" wrapText="1"/>
    </xf>
    <xf numFmtId="0" fontId="24" fillId="0" borderId="9" xfId="0" applyFont="1" applyBorder="1"/>
    <xf numFmtId="14" fontId="58" fillId="0" borderId="9" xfId="0" applyNumberFormat="1" applyFont="1" applyBorder="1" applyAlignment="1">
      <alignment horizontal="left" vertical="center" wrapText="1"/>
    </xf>
    <xf numFmtId="0" fontId="2" fillId="0" borderId="9" xfId="0" applyFont="1" applyBorder="1"/>
    <xf numFmtId="0" fontId="7" fillId="0" borderId="9" xfId="0" applyFont="1" applyBorder="1"/>
    <xf numFmtId="164" fontId="77" fillId="0" borderId="9" xfId="2" applyNumberFormat="1" applyFont="1" applyBorder="1" applyAlignment="1">
      <alignment horizontal="center" vertical="center"/>
    </xf>
    <xf numFmtId="168" fontId="7" fillId="0" borderId="9" xfId="0" applyNumberFormat="1" applyFont="1" applyBorder="1"/>
    <xf numFmtId="0" fontId="81" fillId="0" borderId="0" xfId="0" applyFont="1"/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14" fontId="8" fillId="0" borderId="1" xfId="20" applyNumberFormat="1" applyFont="1" applyBorder="1" applyAlignment="1">
      <alignment horizontal="center" vertical="center" wrapText="1"/>
    </xf>
    <xf numFmtId="0" fontId="45" fillId="0" borderId="0" xfId="1" applyFont="1" applyAlignment="1"/>
    <xf numFmtId="0" fontId="45" fillId="0" borderId="9" xfId="0" applyFont="1" applyBorder="1" applyAlignment="1">
      <alignment vertical="center" wrapText="1"/>
    </xf>
    <xf numFmtId="14" fontId="45" fillId="0" borderId="9" xfId="0" applyNumberFormat="1" applyFont="1" applyBorder="1" applyAlignment="1">
      <alignment vertical="center" wrapText="1"/>
    </xf>
    <xf numFmtId="166" fontId="45" fillId="0" borderId="9" xfId="0" applyNumberFormat="1" applyFont="1" applyBorder="1" applyAlignment="1">
      <alignment horizontal="right" vertical="center" wrapText="1"/>
    </xf>
    <xf numFmtId="0" fontId="45" fillId="0" borderId="2" xfId="0" applyFont="1" applyBorder="1" applyAlignment="1">
      <alignment horizontal="right" vertical="center" wrapText="1"/>
    </xf>
    <xf numFmtId="0" fontId="45" fillId="0" borderId="9" xfId="0" applyFont="1" applyBorder="1" applyAlignment="1">
      <alignment horizontal="right" vertical="center" wrapText="1"/>
    </xf>
    <xf numFmtId="0" fontId="83" fillId="0" borderId="0" xfId="0" applyFont="1"/>
    <xf numFmtId="0" fontId="30" fillId="0" borderId="23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14" fontId="30" fillId="0" borderId="18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4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24" fillId="0" borderId="28" xfId="1" applyFont="1" applyBorder="1" applyAlignment="1"/>
    <xf numFmtId="0" fontId="37" fillId="0" borderId="18" xfId="20" applyFont="1" applyBorder="1" applyAlignment="1">
      <alignment horizontal="center"/>
    </xf>
    <xf numFmtId="14" fontId="37" fillId="0" borderId="1" xfId="20" applyNumberFormat="1" applyFont="1" applyBorder="1" applyAlignment="1"/>
    <xf numFmtId="0" fontId="8" fillId="2" borderId="5" xfId="0" applyFont="1" applyFill="1" applyBorder="1" applyAlignment="1">
      <alignment horizontal="center"/>
    </xf>
    <xf numFmtId="0" fontId="38" fillId="0" borderId="1" xfId="20" applyFont="1" applyBorder="1" applyAlignment="1"/>
    <xf numFmtId="0" fontId="8" fillId="0" borderId="0" xfId="20" applyFont="1" applyBorder="1" applyAlignment="1">
      <alignment horizontal="center"/>
    </xf>
    <xf numFmtId="0" fontId="8" fillId="0" borderId="0" xfId="0" applyFont="1" applyBorder="1"/>
    <xf numFmtId="0" fontId="8" fillId="5" borderId="1" xfId="2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 vertical="center" wrapText="1"/>
    </xf>
    <xf numFmtId="0" fontId="37" fillId="5" borderId="1" xfId="20" applyFont="1" applyFill="1" applyBorder="1" applyAlignment="1"/>
    <xf numFmtId="0" fontId="37" fillId="5" borderId="1" xfId="0" applyFont="1" applyFill="1" applyBorder="1" applyAlignment="1">
      <alignment horizontal="center" vertical="center" wrapText="1"/>
    </xf>
    <xf numFmtId="14" fontId="37" fillId="5" borderId="1" xfId="20" applyNumberFormat="1" applyFont="1" applyFill="1" applyBorder="1" applyAlignment="1"/>
    <xf numFmtId="0" fontId="37" fillId="5" borderId="1" xfId="20" applyFont="1" applyFill="1" applyBorder="1"/>
    <xf numFmtId="3" fontId="37" fillId="5" borderId="1" xfId="20" applyNumberFormat="1" applyFont="1" applyFill="1" applyBorder="1" applyAlignment="1">
      <alignment horizontal="center" vertical="center"/>
    </xf>
    <xf numFmtId="14" fontId="37" fillId="5" borderId="1" xfId="20" applyNumberFormat="1" applyFont="1" applyFill="1" applyBorder="1" applyAlignment="1">
      <alignment horizontal="center" vertical="center"/>
    </xf>
    <xf numFmtId="0" fontId="37" fillId="5" borderId="1" xfId="20" applyFont="1" applyFill="1" applyBorder="1" applyAlignment="1">
      <alignment horizontal="center" vertical="center" wrapText="1"/>
    </xf>
    <xf numFmtId="14" fontId="37" fillId="5" borderId="1" xfId="2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37" fillId="4" borderId="1" xfId="20" applyFont="1" applyFill="1" applyBorder="1"/>
    <xf numFmtId="3" fontId="37" fillId="4" borderId="1" xfId="2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14" fontId="37" fillId="4" borderId="1" xfId="20" applyNumberFormat="1" applyFont="1" applyFill="1" applyBorder="1" applyAlignment="1">
      <alignment horizontal="center" vertical="center"/>
    </xf>
    <xf numFmtId="0" fontId="8" fillId="4" borderId="1" xfId="20" applyFont="1" applyFill="1" applyBorder="1" applyAlignment="1">
      <alignment horizontal="center"/>
    </xf>
    <xf numFmtId="14" fontId="8" fillId="4" borderId="1" xfId="2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0" fontId="38" fillId="4" borderId="1" xfId="20" applyFont="1" applyFill="1" applyBorder="1"/>
    <xf numFmtId="0" fontId="37" fillId="4" borderId="1" xfId="20" applyFont="1" applyFill="1" applyBorder="1" applyAlignment="1">
      <alignment horizontal="center" vertical="center" wrapText="1"/>
    </xf>
    <xf numFmtId="0" fontId="8" fillId="4" borderId="1" xfId="20" applyFont="1" applyFill="1" applyBorder="1"/>
    <xf numFmtId="14" fontId="37" fillId="4" borderId="1" xfId="20" applyNumberFormat="1" applyFont="1" applyFill="1" applyBorder="1" applyAlignment="1">
      <alignment horizontal="center" vertical="center" wrapText="1"/>
    </xf>
    <xf numFmtId="2" fontId="37" fillId="4" borderId="5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4" fontId="38" fillId="4" borderId="1" xfId="20" applyNumberFormat="1" applyFont="1" applyFill="1" applyBorder="1" applyAlignment="1">
      <alignment horizontal="center"/>
    </xf>
    <xf numFmtId="166" fontId="8" fillId="4" borderId="1" xfId="0" applyNumberFormat="1" applyFont="1" applyFill="1" applyBorder="1"/>
    <xf numFmtId="166" fontId="8" fillId="0" borderId="1" xfId="20" applyNumberFormat="1" applyFont="1" applyBorder="1" applyAlignment="1">
      <alignment horizontal="center"/>
    </xf>
    <xf numFmtId="166" fontId="8" fillId="0" borderId="1" xfId="0" applyNumberFormat="1" applyFont="1" applyBorder="1"/>
    <xf numFmtId="0" fontId="37" fillId="4" borderId="1" xfId="20" applyFont="1" applyFill="1" applyBorder="1" applyAlignment="1"/>
    <xf numFmtId="14" fontId="8" fillId="0" borderId="0" xfId="0" applyNumberFormat="1" applyFont="1" applyAlignment="1">
      <alignment horizontal="left"/>
    </xf>
    <xf numFmtId="14" fontId="8" fillId="5" borderId="0" xfId="0" applyNumberFormat="1" applyFont="1" applyFill="1" applyAlignment="1">
      <alignment horizontal="left"/>
    </xf>
    <xf numFmtId="14" fontId="8" fillId="4" borderId="1" xfId="0" applyNumberFormat="1" applyFont="1" applyFill="1" applyBorder="1" applyAlignment="1">
      <alignment horizontal="right" vertical="center" wrapText="1"/>
    </xf>
    <xf numFmtId="14" fontId="37" fillId="4" borderId="1" xfId="20" applyNumberFormat="1" applyFont="1" applyFill="1" applyBorder="1" applyAlignment="1">
      <alignment horizontal="center"/>
    </xf>
    <xf numFmtId="0" fontId="25" fillId="0" borderId="1" xfId="20" applyFont="1" applyBorder="1" applyAlignment="1"/>
    <xf numFmtId="165" fontId="8" fillId="3" borderId="1" xfId="20" applyNumberFormat="1" applyFont="1" applyFill="1" applyBorder="1" applyAlignment="1">
      <alignment horizontal="center"/>
    </xf>
    <xf numFmtId="14" fontId="8" fillId="0" borderId="1" xfId="20" applyNumberFormat="1" applyFont="1" applyBorder="1" applyAlignment="1"/>
    <xf numFmtId="2" fontId="30" fillId="0" borderId="9" xfId="0" applyNumberFormat="1" applyFont="1" applyBorder="1"/>
    <xf numFmtId="0" fontId="8" fillId="3" borderId="0" xfId="20" applyFont="1" applyFill="1" applyBorder="1" applyAlignment="1">
      <alignment horizontal="center"/>
    </xf>
    <xf numFmtId="0" fontId="8" fillId="3" borderId="0" xfId="20" applyFont="1" applyFill="1" applyBorder="1"/>
    <xf numFmtId="3" fontId="8" fillId="0" borderId="0" xfId="2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14" fontId="8" fillId="0" borderId="0" xfId="20" applyNumberFormat="1" applyFont="1" applyFill="1" applyBorder="1" applyAlignment="1">
      <alignment horizontal="center" vertical="center"/>
    </xf>
    <xf numFmtId="0" fontId="8" fillId="0" borderId="0" xfId="20" applyFont="1" applyBorder="1" applyAlignment="1">
      <alignment horizontal="center" vertical="center" wrapText="1"/>
    </xf>
    <xf numFmtId="14" fontId="8" fillId="0" borderId="0" xfId="20" applyNumberFormat="1" applyFont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6" fillId="3" borderId="0" xfId="20" applyFont="1" applyFill="1" applyBorder="1" applyAlignment="1">
      <alignment horizontal="center"/>
    </xf>
    <xf numFmtId="0" fontId="85" fillId="0" borderId="0" xfId="20" applyFont="1" applyAlignment="1"/>
    <xf numFmtId="0" fontId="85" fillId="0" borderId="0" xfId="20" applyFont="1" applyAlignment="1">
      <alignment horizontal="center"/>
    </xf>
    <xf numFmtId="0" fontId="86" fillId="0" borderId="0" xfId="20" applyFont="1" applyAlignment="1"/>
    <xf numFmtId="0" fontId="6" fillId="0" borderId="0" xfId="20" applyFont="1" applyAlignment="1"/>
    <xf numFmtId="0" fontId="85" fillId="0" borderId="0" xfId="20" applyFont="1"/>
    <xf numFmtId="0" fontId="8" fillId="0" borderId="0" xfId="20" applyFont="1"/>
    <xf numFmtId="14" fontId="25" fillId="0" borderId="1" xfId="20" applyNumberFormat="1" applyFont="1" applyBorder="1" applyAlignment="1"/>
    <xf numFmtId="0" fontId="8" fillId="0" borderId="1" xfId="20" applyFont="1" applyBorder="1" applyAlignment="1"/>
    <xf numFmtId="0" fontId="0" fillId="0" borderId="0" xfId="0" applyFont="1" applyAlignment="1">
      <alignment horizontal="center"/>
    </xf>
    <xf numFmtId="0" fontId="25" fillId="3" borderId="1" xfId="20" applyFont="1" applyFill="1" applyBorder="1" applyAlignment="1"/>
    <xf numFmtId="0" fontId="25" fillId="3" borderId="1" xfId="0" applyFont="1" applyFill="1" applyBorder="1" applyAlignment="1"/>
    <xf numFmtId="14" fontId="25" fillId="3" borderId="1" xfId="20" applyNumberFormat="1" applyFont="1" applyFill="1" applyBorder="1" applyAlignment="1"/>
    <xf numFmtId="0" fontId="25" fillId="3" borderId="1" xfId="20" applyFont="1" applyFill="1" applyBorder="1" applyAlignment="1">
      <alignment horizontal="center"/>
    </xf>
    <xf numFmtId="0" fontId="87" fillId="3" borderId="1" xfId="0" applyFont="1" applyFill="1" applyBorder="1" applyAlignment="1"/>
    <xf numFmtId="0" fontId="25" fillId="0" borderId="1" xfId="20" applyFont="1" applyBorder="1" applyAlignment="1">
      <alignment horizontal="center"/>
    </xf>
    <xf numFmtId="0" fontId="8" fillId="0" borderId="1" xfId="20" applyFont="1" applyBorder="1" applyAlignment="1">
      <alignment wrapText="1"/>
    </xf>
    <xf numFmtId="14" fontId="8" fillId="0" borderId="1" xfId="20" applyNumberFormat="1" applyFont="1" applyBorder="1" applyAlignment="1">
      <alignment wrapText="1"/>
    </xf>
    <xf numFmtId="2" fontId="6" fillId="2" borderId="9" xfId="0" applyNumberFormat="1" applyFont="1" applyFill="1" applyBorder="1" applyAlignment="1">
      <alignment horizontal="center" vertical="center"/>
    </xf>
    <xf numFmtId="14" fontId="66" fillId="0" borderId="9" xfId="20" applyNumberFormat="1" applyFont="1" applyBorder="1" applyAlignment="1">
      <alignment horizontal="center" vertical="center"/>
    </xf>
    <xf numFmtId="2" fontId="45" fillId="2" borderId="9" xfId="0" applyNumberFormat="1" applyFont="1" applyFill="1" applyBorder="1" applyAlignment="1">
      <alignment horizontal="center" vertical="center"/>
    </xf>
    <xf numFmtId="0" fontId="66" fillId="0" borderId="0" xfId="20" applyFont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4" fontId="66" fillId="0" borderId="0" xfId="20" applyNumberFormat="1" applyFont="1" applyBorder="1" applyAlignment="1">
      <alignment horizontal="center" vertical="center"/>
    </xf>
    <xf numFmtId="0" fontId="25" fillId="0" borderId="21" xfId="20" applyFont="1" applyBorder="1" applyAlignment="1"/>
    <xf numFmtId="0" fontId="25" fillId="0" borderId="4" xfId="20" applyFont="1" applyBorder="1" applyAlignment="1"/>
    <xf numFmtId="0" fontId="25" fillId="0" borderId="4" xfId="0" applyFont="1" applyBorder="1" applyAlignment="1"/>
    <xf numFmtId="14" fontId="25" fillId="0" borderId="4" xfId="20" applyNumberFormat="1" applyFont="1" applyBorder="1" applyAlignment="1"/>
    <xf numFmtId="0" fontId="25" fillId="0" borderId="4" xfId="20" applyFont="1" applyBorder="1" applyAlignment="1">
      <alignment horizontal="center"/>
    </xf>
    <xf numFmtId="0" fontId="87" fillId="0" borderId="4" xfId="0" applyFont="1" applyBorder="1" applyAlignment="1"/>
    <xf numFmtId="0" fontId="8" fillId="3" borderId="1" xfId="20" applyFont="1" applyFill="1" applyBorder="1" applyAlignment="1"/>
    <xf numFmtId="3" fontId="8" fillId="0" borderId="1" xfId="2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4" fontId="8" fillId="0" borderId="1" xfId="20" applyNumberFormat="1" applyFont="1" applyFill="1" applyBorder="1" applyAlignment="1">
      <alignment horizontal="center"/>
    </xf>
    <xf numFmtId="0" fontId="8" fillId="0" borderId="1" xfId="20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166" fontId="40" fillId="2" borderId="1" xfId="0" applyNumberFormat="1" applyFont="1" applyFill="1" applyBorder="1" applyAlignment="1">
      <alignment horizontal="center"/>
    </xf>
    <xf numFmtId="3" fontId="6" fillId="0" borderId="0" xfId="2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47" fillId="0" borderId="10" xfId="0" applyFont="1" applyBorder="1" applyAlignment="1">
      <alignment horizontal="center"/>
    </xf>
    <xf numFmtId="0" fontId="73" fillId="0" borderId="10" xfId="2" applyFont="1" applyBorder="1" applyAlignment="1">
      <alignment horizontal="left"/>
    </xf>
    <xf numFmtId="14" fontId="73" fillId="0" borderId="10" xfId="2" applyNumberFormat="1" applyFont="1" applyBorder="1" applyAlignment="1">
      <alignment horizontal="center"/>
    </xf>
    <xf numFmtId="0" fontId="73" fillId="0" borderId="10" xfId="2" applyFont="1" applyBorder="1" applyAlignment="1">
      <alignment horizontal="center"/>
    </xf>
    <xf numFmtId="2" fontId="73" fillId="0" borderId="10" xfId="2" applyNumberFormat="1" applyFont="1" applyBorder="1" applyAlignment="1">
      <alignment horizontal="center"/>
    </xf>
    <xf numFmtId="164" fontId="73" fillId="0" borderId="10" xfId="2" applyNumberFormat="1" applyFont="1" applyBorder="1" applyAlignment="1">
      <alignment horizontal="center"/>
    </xf>
    <xf numFmtId="0" fontId="0" fillId="0" borderId="10" xfId="0" applyFont="1" applyBorder="1" applyAlignment="1"/>
    <xf numFmtId="0" fontId="0" fillId="0" borderId="1" xfId="0" applyFont="1" applyBorder="1" applyAlignment="1"/>
    <xf numFmtId="0" fontId="73" fillId="3" borderId="1" xfId="2" applyFont="1" applyFill="1" applyBorder="1" applyAlignment="1">
      <alignment horizontal="left"/>
    </xf>
    <xf numFmtId="14" fontId="73" fillId="3" borderId="1" xfId="2" applyNumberFormat="1" applyFont="1" applyFill="1" applyBorder="1" applyAlignment="1">
      <alignment horizontal="center"/>
    </xf>
    <xf numFmtId="0" fontId="73" fillId="3" borderId="1" xfId="2" applyFont="1" applyFill="1" applyBorder="1" applyAlignment="1">
      <alignment horizontal="center"/>
    </xf>
    <xf numFmtId="2" fontId="73" fillId="3" borderId="1" xfId="2" applyNumberFormat="1" applyFont="1" applyFill="1" applyBorder="1" applyAlignment="1">
      <alignment horizontal="center"/>
    </xf>
    <xf numFmtId="164" fontId="73" fillId="3" borderId="1" xfId="2" applyNumberFormat="1" applyFont="1" applyFill="1" applyBorder="1" applyAlignment="1">
      <alignment horizontal="center"/>
    </xf>
    <xf numFmtId="164" fontId="73" fillId="0" borderId="1" xfId="2" applyNumberFormat="1" applyFont="1" applyBorder="1" applyAlignment="1">
      <alignment horizontal="center"/>
    </xf>
    <xf numFmtId="0" fontId="73" fillId="0" borderId="1" xfId="2" applyFont="1" applyBorder="1" applyAlignment="1">
      <alignment horizontal="center"/>
    </xf>
    <xf numFmtId="170" fontId="73" fillId="0" borderId="1" xfId="15" applyNumberFormat="1" applyFont="1" applyBorder="1" applyAlignment="1"/>
    <xf numFmtId="0" fontId="73" fillId="0" borderId="1" xfId="2" applyFont="1" applyBorder="1" applyAlignment="1">
      <alignment horizontal="left"/>
    </xf>
    <xf numFmtId="2" fontId="73" fillId="0" borderId="1" xfId="2" applyNumberFormat="1" applyFont="1" applyBorder="1" applyAlignment="1">
      <alignment horizontal="center"/>
    </xf>
    <xf numFmtId="0" fontId="46" fillId="0" borderId="1" xfId="0" applyFont="1" applyBorder="1" applyAlignment="1"/>
    <xf numFmtId="0" fontId="46" fillId="0" borderId="0" xfId="0" applyFont="1" applyAlignment="1"/>
    <xf numFmtId="14" fontId="38" fillId="0" borderId="1" xfId="20" applyNumberFormat="1" applyFont="1" applyBorder="1" applyAlignment="1">
      <alignment horizontal="center"/>
    </xf>
    <xf numFmtId="0" fontId="66" fillId="0" borderId="9" xfId="20" applyFont="1" applyBorder="1" applyAlignment="1">
      <alignment horizontal="center" vertical="center"/>
    </xf>
    <xf numFmtId="0" fontId="70" fillId="0" borderId="5" xfId="1" applyFont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45" fillId="3" borderId="0" xfId="20" applyFont="1" applyFill="1" applyBorder="1" applyAlignment="1">
      <alignment horizontal="center"/>
    </xf>
    <xf numFmtId="3" fontId="45" fillId="0" borderId="0" xfId="20" applyNumberFormat="1" applyFont="1" applyFill="1" applyBorder="1" applyAlignment="1">
      <alignment horizontal="center"/>
    </xf>
    <xf numFmtId="0" fontId="45" fillId="2" borderId="0" xfId="0" applyFont="1" applyFill="1" applyBorder="1" applyAlignment="1">
      <alignment horizontal="center" wrapText="1"/>
    </xf>
    <xf numFmtId="0" fontId="45" fillId="0" borderId="0" xfId="20" applyFont="1" applyBorder="1" applyAlignment="1">
      <alignment horizontal="center" wrapText="1"/>
    </xf>
    <xf numFmtId="0" fontId="45" fillId="0" borderId="0" xfId="0" applyFont="1" applyBorder="1" applyAlignment="1"/>
    <xf numFmtId="0" fontId="83" fillId="0" borderId="0" xfId="0" applyFont="1" applyBorder="1" applyAlignment="1"/>
    <xf numFmtId="0" fontId="0" fillId="0" borderId="1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Border="1"/>
    <xf numFmtId="0" fontId="8" fillId="0" borderId="4" xfId="20" applyFont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1" fontId="64" fillId="0" borderId="1" xfId="2" applyNumberFormat="1" applyFont="1" applyBorder="1" applyAlignment="1">
      <alignment horizontal="center" vertical="center"/>
    </xf>
    <xf numFmtId="0" fontId="67" fillId="0" borderId="0" xfId="1" applyFont="1" applyAlignment="1"/>
    <xf numFmtId="0" fontId="67" fillId="0" borderId="0" xfId="1" applyFont="1" applyAlignment="1">
      <alignment horizontal="left"/>
    </xf>
    <xf numFmtId="0" fontId="64" fillId="0" borderId="2" xfId="1" applyFont="1" applyBorder="1" applyAlignment="1">
      <alignment horizontal="center" vertical="center"/>
    </xf>
    <xf numFmtId="0" fontId="64" fillId="0" borderId="0" xfId="0" applyFont="1" applyAlignment="1">
      <alignment horizontal="right"/>
    </xf>
    <xf numFmtId="0" fontId="70" fillId="0" borderId="5" xfId="1" applyFont="1" applyBorder="1" applyAlignment="1">
      <alignment horizontal="left" vertical="center" wrapText="1"/>
    </xf>
    <xf numFmtId="0" fontId="64" fillId="0" borderId="1" xfId="0" applyFont="1" applyBorder="1"/>
    <xf numFmtId="166" fontId="73" fillId="0" borderId="1" xfId="0" applyNumberFormat="1" applyFont="1" applyBorder="1"/>
    <xf numFmtId="0" fontId="64" fillId="0" borderId="1" xfId="0" applyFont="1" applyBorder="1" applyAlignment="1">
      <alignment horizontal="right"/>
    </xf>
    <xf numFmtId="0" fontId="73" fillId="0" borderId="0" xfId="1" applyFont="1"/>
    <xf numFmtId="0" fontId="73" fillId="0" borderId="0" xfId="1" applyFont="1" applyAlignment="1">
      <alignment horizontal="right"/>
    </xf>
    <xf numFmtId="0" fontId="73" fillId="0" borderId="0" xfId="1" applyFont="1" applyAlignment="1">
      <alignment horizontal="left"/>
    </xf>
    <xf numFmtId="0" fontId="68" fillId="0" borderId="0" xfId="1" applyFont="1" applyAlignment="1"/>
    <xf numFmtId="0" fontId="68" fillId="0" borderId="0" xfId="1" applyFont="1"/>
    <xf numFmtId="0" fontId="68" fillId="0" borderId="0" xfId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right"/>
    </xf>
    <xf numFmtId="0" fontId="73" fillId="0" borderId="0" xfId="0" applyFont="1" applyAlignment="1">
      <alignment horizontal="left"/>
    </xf>
    <xf numFmtId="0" fontId="64" fillId="0" borderId="10" xfId="0" applyFont="1" applyBorder="1"/>
    <xf numFmtId="166" fontId="64" fillId="0" borderId="10" xfId="2" applyNumberFormat="1" applyFont="1" applyBorder="1" applyAlignment="1">
      <alignment horizontal="right" vertical="center"/>
    </xf>
    <xf numFmtId="164" fontId="64" fillId="0" borderId="10" xfId="2" applyNumberFormat="1" applyFont="1" applyBorder="1" applyAlignment="1">
      <alignment horizontal="left" vertical="center"/>
    </xf>
    <xf numFmtId="164" fontId="64" fillId="0" borderId="1" xfId="2" applyNumberFormat="1" applyFont="1" applyBorder="1" applyAlignment="1">
      <alignment horizontal="left" vertical="center"/>
    </xf>
    <xf numFmtId="164" fontId="64" fillId="0" borderId="1" xfId="2" applyNumberFormat="1" applyFont="1" applyBorder="1" applyAlignment="1">
      <alignment horizontal="left" vertical="center" wrapText="1"/>
    </xf>
    <xf numFmtId="0" fontId="31" fillId="0" borderId="0" xfId="20" applyFont="1" applyAlignment="1">
      <alignment horizontal="center"/>
    </xf>
    <xf numFmtId="0" fontId="6" fillId="0" borderId="9" xfId="20" applyFont="1" applyBorder="1" applyAlignment="1">
      <alignment horizontal="center" vertical="center" wrapText="1"/>
    </xf>
    <xf numFmtId="0" fontId="24" fillId="0" borderId="0" xfId="20" applyFont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4" fillId="0" borderId="1" xfId="2" applyFont="1" applyBorder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64" fillId="2" borderId="1" xfId="0" applyFont="1" applyFill="1" applyBorder="1"/>
    <xf numFmtId="0" fontId="64" fillId="2" borderId="1" xfId="2" applyFont="1" applyFill="1" applyBorder="1" applyAlignment="1">
      <alignment horizontal="right" vertical="center"/>
    </xf>
    <xf numFmtId="14" fontId="37" fillId="0" borderId="1" xfId="20" applyNumberFormat="1" applyFont="1" applyBorder="1" applyAlignment="1">
      <alignment horizontal="center" wrapText="1"/>
    </xf>
    <xf numFmtId="0" fontId="35" fillId="2" borderId="1" xfId="0" applyFont="1" applyFill="1" applyBorder="1" applyAlignment="1">
      <alignment horizontal="left" wrapText="1"/>
    </xf>
    <xf numFmtId="0" fontId="15" fillId="0" borderId="0" xfId="1" applyFont="1" applyAlignment="1">
      <alignment horizontal="center"/>
    </xf>
    <xf numFmtId="0" fontId="61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90" fillId="0" borderId="0" xfId="0" applyFont="1" applyBorder="1"/>
    <xf numFmtId="0" fontId="17" fillId="0" borderId="0" xfId="0" applyFont="1" applyBorder="1"/>
    <xf numFmtId="0" fontId="90" fillId="0" borderId="0" xfId="0" applyFont="1" applyBorder="1" applyAlignment="1"/>
    <xf numFmtId="172" fontId="90" fillId="0" borderId="0" xfId="0" applyNumberFormat="1" applyFont="1" applyBorder="1" applyAlignment="1">
      <alignment horizontal="left"/>
    </xf>
    <xf numFmtId="172" fontId="90" fillId="0" borderId="0" xfId="0" applyNumberFormat="1" applyFont="1" applyBorder="1" applyAlignment="1">
      <alignment horizontal="right"/>
    </xf>
    <xf numFmtId="0" fontId="90" fillId="0" borderId="0" xfId="0" applyFont="1" applyBorder="1" applyAlignment="1">
      <alignment horizontal="left"/>
    </xf>
    <xf numFmtId="0" fontId="61" fillId="0" borderId="0" xfId="0" applyFont="1" applyBorder="1"/>
    <xf numFmtId="0" fontId="91" fillId="0" borderId="0" xfId="0" applyFont="1" applyBorder="1"/>
    <xf numFmtId="0" fontId="91" fillId="0" borderId="0" xfId="0" applyFont="1" applyBorder="1" applyAlignment="1"/>
    <xf numFmtId="172" fontId="91" fillId="0" borderId="0" xfId="0" applyNumberFormat="1" applyFont="1" applyBorder="1" applyAlignment="1">
      <alignment horizontal="left"/>
    </xf>
    <xf numFmtId="172" fontId="91" fillId="0" borderId="0" xfId="0" applyNumberFormat="1" applyFont="1" applyBorder="1" applyAlignment="1">
      <alignment horizontal="right"/>
    </xf>
    <xf numFmtId="173" fontId="92" fillId="0" borderId="0" xfId="0" applyNumberFormat="1" applyFont="1" applyBorder="1" applyAlignment="1"/>
    <xf numFmtId="0" fontId="15" fillId="0" borderId="0" xfId="0" applyFont="1" applyBorder="1"/>
    <xf numFmtId="0" fontId="91" fillId="0" borderId="0" xfId="0" applyFont="1" applyBorder="1" applyAlignment="1">
      <alignment horizontal="left"/>
    </xf>
    <xf numFmtId="0" fontId="93" fillId="0" borderId="0" xfId="0" applyFont="1" applyBorder="1"/>
    <xf numFmtId="0" fontId="93" fillId="0" borderId="0" xfId="0" applyFont="1" applyBorder="1" applyAlignment="1"/>
    <xf numFmtId="172" fontId="93" fillId="0" borderId="0" xfId="0" applyNumberFormat="1" applyFont="1" applyBorder="1" applyAlignment="1">
      <alignment horizontal="left"/>
    </xf>
    <xf numFmtId="172" fontId="93" fillId="0" borderId="0" xfId="0" applyNumberFormat="1" applyFont="1" applyBorder="1"/>
    <xf numFmtId="173" fontId="93" fillId="0" borderId="0" xfId="0" applyNumberFormat="1" applyFont="1" applyBorder="1" applyAlignment="1">
      <alignment horizontal="left"/>
    </xf>
    <xf numFmtId="173" fontId="93" fillId="0" borderId="0" xfId="0" applyNumberFormat="1" applyFont="1" applyBorder="1" applyAlignment="1">
      <alignment horizontal="center"/>
    </xf>
    <xf numFmtId="0" fontId="93" fillId="0" borderId="0" xfId="0" applyFont="1" applyBorder="1" applyAlignment="1">
      <alignment horizontal="left"/>
    </xf>
    <xf numFmtId="0" fontId="29" fillId="0" borderId="2" xfId="0" applyNumberFormat="1" applyFont="1" applyBorder="1" applyAlignment="1">
      <alignment horizontal="center" vertical="top" wrapText="1"/>
    </xf>
    <xf numFmtId="0" fontId="94" fillId="0" borderId="1" xfId="0" applyFont="1" applyBorder="1" applyAlignment="1"/>
    <xf numFmtId="0" fontId="95" fillId="0" borderId="1" xfId="0" applyFont="1" applyBorder="1" applyAlignment="1"/>
    <xf numFmtId="14" fontId="95" fillId="0" borderId="1" xfId="0" applyNumberFormat="1" applyFont="1" applyBorder="1" applyAlignment="1">
      <alignment horizontal="left"/>
    </xf>
    <xf numFmtId="174" fontId="95" fillId="0" borderId="1" xfId="0" applyNumberFormat="1" applyFont="1" applyBorder="1" applyAlignment="1">
      <alignment horizontal="right"/>
    </xf>
    <xf numFmtId="172" fontId="95" fillId="0" borderId="1" xfId="0" applyNumberFormat="1" applyFont="1" applyBorder="1" applyAlignment="1"/>
    <xf numFmtId="2" fontId="95" fillId="0" borderId="1" xfId="0" applyNumberFormat="1" applyFont="1" applyBorder="1" applyAlignment="1">
      <alignment horizontal="center" wrapText="1"/>
    </xf>
    <xf numFmtId="174" fontId="95" fillId="0" borderId="1" xfId="0" applyNumberFormat="1" applyFont="1" applyBorder="1" applyAlignment="1"/>
    <xf numFmtId="175" fontId="95" fillId="0" borderId="1" xfId="0" applyNumberFormat="1" applyFont="1" applyBorder="1" applyAlignment="1"/>
    <xf numFmtId="164" fontId="95" fillId="0" borderId="1" xfId="0" applyNumberFormat="1" applyFont="1" applyBorder="1" applyAlignment="1"/>
    <xf numFmtId="168" fontId="95" fillId="0" borderId="1" xfId="22" applyNumberFormat="1" applyFont="1" applyBorder="1" applyAlignment="1">
      <alignment horizontal="left"/>
    </xf>
    <xf numFmtId="168" fontId="95" fillId="0" borderId="4" xfId="22" applyNumberFormat="1" applyFont="1" applyBorder="1" applyAlignment="1">
      <alignment horizontal="left"/>
    </xf>
    <xf numFmtId="168" fontId="95" fillId="0" borderId="1" xfId="22" applyNumberFormat="1" applyFont="1" applyBorder="1" applyAlignment="1">
      <alignment horizontal="center"/>
    </xf>
    <xf numFmtId="0" fontId="93" fillId="0" borderId="9" xfId="0" applyFont="1" applyBorder="1" applyAlignment="1"/>
    <xf numFmtId="0" fontId="61" fillId="0" borderId="9" xfId="0" applyFont="1" applyBorder="1" applyAlignment="1">
      <alignment wrapText="1"/>
    </xf>
    <xf numFmtId="176" fontId="29" fillId="0" borderId="9" xfId="0" applyNumberFormat="1" applyFont="1" applyBorder="1" applyAlignment="1">
      <alignment horizontal="right"/>
    </xf>
    <xf numFmtId="0" fontId="29" fillId="0" borderId="9" xfId="0" applyFont="1" applyBorder="1" applyAlignment="1"/>
    <xf numFmtId="172" fontId="35" fillId="0" borderId="9" xfId="0" applyNumberFormat="1" applyFont="1" applyBorder="1" applyAlignment="1"/>
    <xf numFmtId="173" fontId="29" fillId="0" borderId="9" xfId="0" applyNumberFormat="1" applyFont="1" applyBorder="1" applyAlignment="1">
      <alignment horizontal="left"/>
    </xf>
    <xf numFmtId="172" fontId="29" fillId="0" borderId="9" xfId="0" applyNumberFormat="1" applyFont="1" applyBorder="1" applyAlignment="1">
      <alignment horizontal="right"/>
    </xf>
    <xf numFmtId="172" fontId="29" fillId="0" borderId="9" xfId="0" applyNumberFormat="1" applyFont="1" applyBorder="1" applyAlignment="1"/>
    <xf numFmtId="174" fontId="29" fillId="0" borderId="9" xfId="0" applyNumberFormat="1" applyFont="1" applyBorder="1" applyAlignment="1"/>
    <xf numFmtId="175" fontId="29" fillId="0" borderId="9" xfId="0" applyNumberFormat="1" applyFont="1" applyBorder="1" applyAlignment="1"/>
    <xf numFmtId="164" fontId="29" fillId="0" borderId="9" xfId="0" applyNumberFormat="1" applyFont="1" applyBorder="1" applyAlignment="1"/>
    <xf numFmtId="168" fontId="29" fillId="0" borderId="9" xfId="22" applyNumberFormat="1" applyFont="1" applyBorder="1" applyAlignment="1"/>
    <xf numFmtId="168" fontId="93" fillId="0" borderId="9" xfId="22" applyNumberFormat="1" applyFont="1" applyBorder="1" applyAlignment="1"/>
    <xf numFmtId="0" fontId="57" fillId="0" borderId="0" xfId="0" applyFont="1" applyBorder="1"/>
    <xf numFmtId="173" fontId="57" fillId="0" borderId="0" xfId="0" applyNumberFormat="1" applyFont="1" applyBorder="1" applyAlignment="1">
      <alignment horizontal="right"/>
    </xf>
    <xf numFmtId="172" fontId="58" fillId="0" borderId="0" xfId="0" applyNumberFormat="1" applyFont="1" applyBorder="1" applyAlignment="1">
      <alignment horizontal="right"/>
    </xf>
    <xf numFmtId="173" fontId="96" fillId="0" borderId="0" xfId="0" applyNumberFormat="1" applyFont="1" applyBorder="1" applyAlignment="1"/>
    <xf numFmtId="173" fontId="54" fillId="0" borderId="0" xfId="0" applyNumberFormat="1" applyFont="1" applyBorder="1" applyAlignment="1">
      <alignment horizontal="left"/>
    </xf>
    <xf numFmtId="173" fontId="54" fillId="0" borderId="0" xfId="0" applyNumberFormat="1" applyFont="1" applyBorder="1" applyAlignment="1"/>
    <xf numFmtId="173" fontId="57" fillId="0" borderId="0" xfId="0" applyNumberFormat="1" applyFont="1" applyBorder="1" applyAlignment="1">
      <alignment horizontal="center"/>
    </xf>
    <xf numFmtId="0" fontId="57" fillId="0" borderId="0" xfId="0" applyFont="1" applyFill="1" applyBorder="1" applyAlignment="1"/>
    <xf numFmtId="0" fontId="57" fillId="0" borderId="0" xfId="0" applyFont="1" applyFill="1" applyBorder="1" applyAlignment="1">
      <alignment horizontal="left"/>
    </xf>
    <xf numFmtId="0" fontId="97" fillId="0" borderId="0" xfId="0" applyFont="1" applyBorder="1"/>
    <xf numFmtId="173" fontId="57" fillId="0" borderId="0" xfId="0" applyNumberFormat="1" applyFont="1" applyBorder="1" applyAlignment="1"/>
    <xf numFmtId="173" fontId="97" fillId="0" borderId="0" xfId="0" applyNumberFormat="1" applyFont="1" applyBorder="1" applyAlignment="1"/>
    <xf numFmtId="0" fontId="20" fillId="0" borderId="0" xfId="0" applyFont="1" applyAlignment="1"/>
    <xf numFmtId="173" fontId="96" fillId="0" borderId="0" xfId="0" applyNumberFormat="1" applyFont="1" applyBorder="1" applyAlignment="1">
      <alignment horizontal="left"/>
    </xf>
    <xf numFmtId="173" fontId="97" fillId="0" borderId="0" xfId="0" applyNumberFormat="1" applyFont="1" applyBorder="1" applyAlignment="1">
      <alignment horizontal="center"/>
    </xf>
    <xf numFmtId="0" fontId="58" fillId="0" borderId="0" xfId="0" applyFont="1" applyBorder="1" applyAlignment="1"/>
    <xf numFmtId="0" fontId="58" fillId="0" borderId="0" xfId="0" applyFont="1" applyBorder="1" applyAlignment="1">
      <alignment horizontal="left"/>
    </xf>
    <xf numFmtId="174" fontId="57" fillId="0" borderId="0" xfId="0" applyNumberFormat="1" applyFont="1" applyBorder="1" applyAlignment="1">
      <alignment horizontal="right"/>
    </xf>
    <xf numFmtId="172" fontId="20" fillId="0" borderId="0" xfId="0" applyNumberFormat="1" applyFont="1" applyBorder="1" applyAlignment="1"/>
    <xf numFmtId="172" fontId="20" fillId="0" borderId="0" xfId="0" applyNumberFormat="1" applyFont="1" applyBorder="1" applyAlignment="1">
      <alignment horizontal="left"/>
    </xf>
    <xf numFmtId="172" fontId="20" fillId="0" borderId="0" xfId="0" applyNumberFormat="1" applyFont="1" applyBorder="1" applyAlignment="1">
      <alignment horizontal="right"/>
    </xf>
    <xf numFmtId="172" fontId="57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173" fontId="20" fillId="0" borderId="0" xfId="0" applyNumberFormat="1" applyFont="1" applyBorder="1" applyAlignment="1">
      <alignment horizontal="right"/>
    </xf>
    <xf numFmtId="174" fontId="20" fillId="0" borderId="0" xfId="0" applyNumberFormat="1" applyFont="1" applyBorder="1" applyAlignment="1">
      <alignment horizontal="right"/>
    </xf>
    <xf numFmtId="172" fontId="20" fillId="0" borderId="0" xfId="0" applyNumberFormat="1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4" fontId="59" fillId="0" borderId="1" xfId="0" applyNumberFormat="1" applyFont="1" applyBorder="1" applyAlignment="1">
      <alignment horizontal="left"/>
    </xf>
    <xf numFmtId="0" fontId="97" fillId="0" borderId="0" xfId="0" applyFont="1" applyFill="1" applyBorder="1"/>
    <xf numFmtId="173" fontId="58" fillId="0" borderId="0" xfId="0" applyNumberFormat="1" applyFont="1" applyBorder="1" applyAlignment="1"/>
    <xf numFmtId="0" fontId="7" fillId="0" borderId="0" xfId="0" applyFont="1" applyAlignment="1"/>
    <xf numFmtId="0" fontId="8" fillId="0" borderId="10" xfId="20" applyFont="1" applyBorder="1" applyAlignment="1">
      <alignment horizontal="center"/>
    </xf>
    <xf numFmtId="14" fontId="8" fillId="3" borderId="10" xfId="20" applyNumberFormat="1" applyFont="1" applyFill="1" applyBorder="1" applyAlignment="1">
      <alignment horizontal="center"/>
    </xf>
    <xf numFmtId="0" fontId="8" fillId="3" borderId="10" xfId="20" applyFont="1" applyFill="1" applyBorder="1" applyAlignment="1"/>
    <xf numFmtId="3" fontId="8" fillId="0" borderId="10" xfId="20" applyNumberFormat="1" applyFont="1" applyFill="1" applyBorder="1" applyAlignment="1">
      <alignment horizontal="center"/>
    </xf>
    <xf numFmtId="4" fontId="8" fillId="0" borderId="10" xfId="2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14" fontId="8" fillId="0" borderId="10" xfId="20" applyNumberFormat="1" applyFont="1" applyFill="1" applyBorder="1" applyAlignment="1">
      <alignment horizontal="left"/>
    </xf>
    <xf numFmtId="0" fontId="8" fillId="0" borderId="10" xfId="20" applyFont="1" applyBorder="1" applyAlignment="1">
      <alignment horizontal="center" wrapText="1"/>
    </xf>
    <xf numFmtId="0" fontId="8" fillId="0" borderId="10" xfId="0" applyFont="1" applyBorder="1" applyAlignment="1"/>
    <xf numFmtId="0" fontId="40" fillId="2" borderId="10" xfId="0" applyFont="1" applyFill="1" applyBorder="1" applyAlignment="1">
      <alignment horizontal="center" wrapText="1"/>
    </xf>
    <xf numFmtId="4" fontId="8" fillId="0" borderId="1" xfId="20" applyNumberFormat="1" applyFont="1" applyFill="1" applyBorder="1" applyAlignment="1">
      <alignment horizontal="center"/>
    </xf>
    <xf numFmtId="14" fontId="8" fillId="0" borderId="1" xfId="20" applyNumberFormat="1" applyFont="1" applyBorder="1" applyAlignment="1">
      <alignment horizontal="center" wrapText="1"/>
    </xf>
    <xf numFmtId="14" fontId="8" fillId="0" borderId="1" xfId="20" applyNumberFormat="1" applyFont="1" applyFill="1" applyBorder="1" applyAlignment="1">
      <alignment horizontal="left"/>
    </xf>
    <xf numFmtId="0" fontId="84" fillId="0" borderId="0" xfId="0" applyFont="1" applyAlignment="1"/>
    <xf numFmtId="0" fontId="98" fillId="3" borderId="1" xfId="1" applyFont="1" applyFill="1" applyBorder="1" applyAlignment="1"/>
    <xf numFmtId="14" fontId="98" fillId="3" borderId="1" xfId="1" applyNumberFormat="1" applyFont="1" applyFill="1" applyBorder="1" applyAlignment="1">
      <alignment horizontal="center"/>
    </xf>
    <xf numFmtId="3" fontId="98" fillId="0" borderId="1" xfId="1" applyNumberFormat="1" applyFont="1" applyFill="1" applyBorder="1" applyAlignment="1">
      <alignment horizontal="center"/>
    </xf>
    <xf numFmtId="0" fontId="98" fillId="0" borderId="1" xfId="1" applyFont="1" applyBorder="1" applyAlignment="1">
      <alignment horizontal="center"/>
    </xf>
    <xf numFmtId="0" fontId="98" fillId="0" borderId="1" xfId="1" applyFont="1" applyBorder="1" applyAlignment="1">
      <alignment horizontal="center" wrapText="1"/>
    </xf>
    <xf numFmtId="0" fontId="6" fillId="3" borderId="9" xfId="20" applyFont="1" applyFill="1" applyBorder="1" applyAlignment="1">
      <alignment horizontal="center"/>
    </xf>
    <xf numFmtId="3" fontId="6" fillId="0" borderId="9" xfId="20" applyNumberFormat="1" applyFont="1" applyFill="1" applyBorder="1" applyAlignment="1">
      <alignment horizontal="center" vertical="center"/>
    </xf>
    <xf numFmtId="4" fontId="6" fillId="0" borderId="9" xfId="2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4" fontId="6" fillId="0" borderId="9" xfId="20" applyNumberFormat="1" applyFont="1" applyFill="1" applyBorder="1" applyAlignment="1">
      <alignment horizontal="center" vertical="center"/>
    </xf>
    <xf numFmtId="14" fontId="6" fillId="0" borderId="9" xfId="2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47" fillId="0" borderId="10" xfId="2" applyFont="1" applyBorder="1" applyAlignment="1">
      <alignment horizontal="right" wrapText="1"/>
    </xf>
    <xf numFmtId="0" fontId="73" fillId="0" borderId="10" xfId="2" applyFont="1" applyBorder="1" applyAlignment="1">
      <alignment horizontal="right"/>
    </xf>
    <xf numFmtId="0" fontId="47" fillId="0" borderId="1" xfId="2" applyFont="1" applyBorder="1" applyAlignment="1">
      <alignment horizontal="right" wrapText="1"/>
    </xf>
    <xf numFmtId="0" fontId="73" fillId="0" borderId="1" xfId="2" applyFont="1" applyBorder="1" applyAlignment="1">
      <alignment horizontal="right"/>
    </xf>
    <xf numFmtId="164" fontId="59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right"/>
    </xf>
    <xf numFmtId="164" fontId="55" fillId="0" borderId="9" xfId="0" applyNumberFormat="1" applyFont="1" applyBorder="1" applyAlignment="1">
      <alignment horizontal="center" vertical="center" wrapText="1"/>
    </xf>
    <xf numFmtId="164" fontId="73" fillId="3" borderId="3" xfId="2" applyNumberFormat="1" applyFont="1" applyFill="1" applyBorder="1" applyAlignment="1">
      <alignment horizontal="right"/>
    </xf>
    <xf numFmtId="164" fontId="73" fillId="3" borderId="4" xfId="2" applyNumberFormat="1" applyFont="1" applyFill="1" applyBorder="1" applyAlignment="1">
      <alignment horizontal="right"/>
    </xf>
    <xf numFmtId="164" fontId="73" fillId="3" borderId="1" xfId="2" applyNumberFormat="1" applyFont="1" applyFill="1" applyBorder="1" applyAlignment="1">
      <alignment horizontal="right"/>
    </xf>
    <xf numFmtId="164" fontId="46" fillId="0" borderId="0" xfId="0" applyNumberFormat="1" applyFont="1"/>
    <xf numFmtId="2" fontId="28" fillId="0" borderId="9" xfId="1" applyNumberFormat="1" applyFont="1" applyBorder="1" applyAlignment="1">
      <alignment horizontal="left" vertical="center"/>
    </xf>
    <xf numFmtId="0" fontId="63" fillId="3" borderId="1" xfId="1" applyFont="1" applyFill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/>
    </xf>
    <xf numFmtId="164" fontId="51" fillId="0" borderId="1" xfId="1" applyNumberFormat="1" applyFont="1" applyBorder="1" applyAlignment="1">
      <alignment horizontal="center" vertical="center"/>
    </xf>
    <xf numFmtId="0" fontId="99" fillId="0" borderId="1" xfId="1" applyFont="1" applyBorder="1" applyAlignment="1">
      <alignment horizontal="left" vertical="center"/>
    </xf>
    <xf numFmtId="0" fontId="63" fillId="3" borderId="1" xfId="0" applyFont="1" applyFill="1" applyBorder="1"/>
    <xf numFmtId="0" fontId="63" fillId="3" borderId="1" xfId="0" applyFont="1" applyFill="1" applyBorder="1" applyAlignment="1">
      <alignment horizontal="center"/>
    </xf>
    <xf numFmtId="3" fontId="63" fillId="0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14" fontId="63" fillId="3" borderId="1" xfId="0" applyNumberFormat="1" applyFont="1" applyFill="1" applyBorder="1" applyAlignment="1">
      <alignment horizontal="center"/>
    </xf>
    <xf numFmtId="0" fontId="63" fillId="0" borderId="1" xfId="0" applyFont="1" applyBorder="1" applyAlignment="1">
      <alignment horizontal="left" vertical="center" wrapText="1"/>
    </xf>
    <xf numFmtId="164" fontId="63" fillId="3" borderId="1" xfId="0" applyNumberFormat="1" applyFont="1" applyFill="1" applyBorder="1" applyAlignment="1">
      <alignment horizontal="center"/>
    </xf>
    <xf numFmtId="0" fontId="51" fillId="0" borderId="1" xfId="20" applyFont="1" applyBorder="1"/>
    <xf numFmtId="3" fontId="51" fillId="0" borderId="1" xfId="20" applyNumberFormat="1" applyFont="1" applyBorder="1"/>
    <xf numFmtId="14" fontId="28" fillId="0" borderId="9" xfId="1" applyNumberFormat="1" applyFont="1" applyBorder="1" applyAlignment="1">
      <alignment horizontal="center" vertical="center" wrapText="1"/>
    </xf>
    <xf numFmtId="3" fontId="28" fillId="0" borderId="9" xfId="1" applyNumberFormat="1" applyFont="1" applyBorder="1" applyAlignment="1">
      <alignment horizontal="center" vertical="center"/>
    </xf>
    <xf numFmtId="0" fontId="51" fillId="0" borderId="9" xfId="1" applyFont="1" applyBorder="1" applyAlignment="1">
      <alignment horizontal="center" vertical="center"/>
    </xf>
    <xf numFmtId="0" fontId="62" fillId="3" borderId="1" xfId="0" applyFont="1" applyFill="1" applyBorder="1" applyAlignment="1">
      <alignment horizontal="center"/>
    </xf>
    <xf numFmtId="0" fontId="62" fillId="3" borderId="1" xfId="20" applyFont="1" applyFill="1" applyBorder="1"/>
    <xf numFmtId="0" fontId="15" fillId="0" borderId="22" xfId="1" applyFont="1" applyBorder="1" applyAlignment="1">
      <alignment horizontal="center"/>
    </xf>
    <xf numFmtId="0" fontId="63" fillId="3" borderId="4" xfId="1" applyFont="1" applyFill="1" applyBorder="1" applyAlignment="1">
      <alignment horizontal="center" vertical="center"/>
    </xf>
    <xf numFmtId="0" fontId="99" fillId="3" borderId="4" xfId="1" applyFont="1" applyFill="1" applyBorder="1" applyAlignment="1">
      <alignment vertical="center"/>
    </xf>
    <xf numFmtId="14" fontId="99" fillId="3" borderId="4" xfId="1" applyNumberFormat="1" applyFont="1" applyFill="1" applyBorder="1" applyAlignment="1">
      <alignment horizontal="center" vertical="center"/>
    </xf>
    <xf numFmtId="3" fontId="99" fillId="0" borderId="4" xfId="1" applyNumberFormat="1" applyFont="1" applyFill="1" applyBorder="1" applyAlignment="1">
      <alignment horizontal="center" vertical="center"/>
    </xf>
    <xf numFmtId="164" fontId="95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/>
    </xf>
    <xf numFmtId="0" fontId="51" fillId="0" borderId="1" xfId="0" applyFont="1" applyBorder="1" applyAlignment="1">
      <alignment wrapText="1"/>
    </xf>
    <xf numFmtId="14" fontId="51" fillId="0" borderId="1" xfId="0" applyNumberFormat="1" applyFont="1" applyBorder="1" applyAlignment="1">
      <alignment horizontal="right" wrapText="1"/>
    </xf>
    <xf numFmtId="0" fontId="51" fillId="0" borderId="1" xfId="0" applyFont="1" applyBorder="1" applyAlignment="1">
      <alignment horizontal="right" wrapText="1"/>
    </xf>
    <xf numFmtId="164" fontId="51" fillId="0" borderId="1" xfId="0" applyNumberFormat="1" applyFont="1" applyBorder="1" applyAlignment="1">
      <alignment horizontal="right" wrapText="1"/>
    </xf>
    <xf numFmtId="169" fontId="51" fillId="0" borderId="1" xfId="0" applyNumberFormat="1" applyFont="1" applyBorder="1" applyAlignment="1">
      <alignment horizontal="right" wrapText="1"/>
    </xf>
    <xf numFmtId="0" fontId="52" fillId="0" borderId="0" xfId="0" applyFont="1" applyAlignment="1">
      <alignment wrapText="1"/>
    </xf>
    <xf numFmtId="0" fontId="52" fillId="0" borderId="0" xfId="0" applyFont="1" applyAlignment="1"/>
    <xf numFmtId="0" fontId="51" fillId="0" borderId="4" xfId="0" applyFont="1" applyBorder="1" applyAlignment="1">
      <alignment horizontal="right" wrapText="1"/>
    </xf>
    <xf numFmtId="169" fontId="51" fillId="0" borderId="4" xfId="0" applyNumberFormat="1" applyFont="1" applyBorder="1" applyAlignment="1">
      <alignment horizontal="right" wrapText="1"/>
    </xf>
    <xf numFmtId="0" fontId="49" fillId="0" borderId="7" xfId="0" applyFont="1" applyBorder="1" applyAlignment="1">
      <alignment wrapText="1"/>
    </xf>
    <xf numFmtId="14" fontId="49" fillId="0" borderId="7" xfId="0" applyNumberFormat="1" applyFont="1" applyBorder="1" applyAlignment="1">
      <alignment horizontal="right" wrapText="1"/>
    </xf>
    <xf numFmtId="0" fontId="49" fillId="0" borderId="7" xfId="0" applyFont="1" applyBorder="1" applyAlignment="1">
      <alignment horizontal="right" wrapText="1"/>
    </xf>
    <xf numFmtId="0" fontId="50" fillId="0" borderId="0" xfId="0" applyFont="1" applyAlignment="1"/>
    <xf numFmtId="0" fontId="8" fillId="0" borderId="0" xfId="1" applyFont="1" applyAlignment="1"/>
    <xf numFmtId="0" fontId="30" fillId="0" borderId="10" xfId="0" applyFont="1" applyBorder="1" applyAlignment="1">
      <alignment wrapText="1"/>
    </xf>
    <xf numFmtId="14" fontId="30" fillId="0" borderId="10" xfId="0" applyNumberFormat="1" applyFont="1" applyBorder="1" applyAlignment="1">
      <alignment wrapText="1"/>
    </xf>
    <xf numFmtId="0" fontId="30" fillId="0" borderId="3" xfId="0" applyFont="1" applyBorder="1" applyAlignment="1">
      <alignment wrapText="1"/>
    </xf>
    <xf numFmtId="14" fontId="30" fillId="0" borderId="3" xfId="0" applyNumberFormat="1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30" fillId="0" borderId="1" xfId="0" applyFont="1" applyBorder="1" applyAlignment="1">
      <alignment wrapText="1"/>
    </xf>
    <xf numFmtId="14" fontId="30" fillId="0" borderId="1" xfId="0" applyNumberFormat="1" applyFont="1" applyBorder="1" applyAlignment="1">
      <alignment wrapText="1"/>
    </xf>
    <xf numFmtId="0" fontId="30" fillId="0" borderId="4" xfId="0" applyFont="1" applyBorder="1" applyAlignment="1">
      <alignment wrapText="1"/>
    </xf>
    <xf numFmtId="14" fontId="30" fillId="0" borderId="4" xfId="0" applyNumberFormat="1" applyFont="1" applyBorder="1" applyAlignment="1">
      <alignment wrapText="1"/>
    </xf>
    <xf numFmtId="0" fontId="2" fillId="0" borderId="25" xfId="0" applyFont="1" applyBorder="1" applyAlignment="1"/>
    <xf numFmtId="0" fontId="7" fillId="0" borderId="24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0" xfId="0" applyFont="1" applyAlignment="1">
      <alignment wrapText="1"/>
    </xf>
    <xf numFmtId="171" fontId="30" fillId="0" borderId="10" xfId="0" applyNumberFormat="1" applyFont="1" applyBorder="1" applyAlignment="1">
      <alignment wrapText="1"/>
    </xf>
    <xf numFmtId="171" fontId="30" fillId="0" borderId="1" xfId="0" applyNumberFormat="1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2" fillId="0" borderId="9" xfId="0" applyFont="1" applyBorder="1" applyAlignment="1"/>
    <xf numFmtId="171" fontId="7" fillId="0" borderId="9" xfId="0" applyNumberFormat="1" applyFont="1" applyBorder="1" applyAlignment="1">
      <alignment wrapText="1"/>
    </xf>
    <xf numFmtId="171" fontId="30" fillId="0" borderId="4" xfId="0" applyNumberFormat="1" applyFont="1" applyBorder="1" applyAlignment="1">
      <alignment wrapText="1"/>
    </xf>
    <xf numFmtId="0" fontId="0" fillId="0" borderId="34" xfId="0" applyBorder="1" applyAlignment="1">
      <alignment vertical="center" wrapText="1"/>
    </xf>
    <xf numFmtId="0" fontId="68" fillId="0" borderId="0" xfId="1" applyFont="1" applyAlignment="1">
      <alignment horizontal="center"/>
    </xf>
    <xf numFmtId="0" fontId="70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0" fillId="0" borderId="0" xfId="1" applyFont="1" applyAlignment="1">
      <alignment horizontal="center"/>
    </xf>
    <xf numFmtId="164" fontId="64" fillId="0" borderId="1" xfId="2" applyNumberFormat="1" applyFont="1" applyBorder="1" applyAlignment="1">
      <alignment horizontal="center" vertical="center"/>
    </xf>
    <xf numFmtId="0" fontId="73" fillId="0" borderId="1" xfId="0" applyFont="1" applyBorder="1"/>
    <xf numFmtId="0" fontId="43" fillId="0" borderId="1" xfId="2" applyFont="1" applyBorder="1" applyAlignment="1">
      <alignment horizontal="right" vertical="center"/>
    </xf>
    <xf numFmtId="0" fontId="43" fillId="0" borderId="1" xfId="2" applyFont="1" applyBorder="1" applyAlignment="1">
      <alignment horizontal="center" vertical="center"/>
    </xf>
    <xf numFmtId="2" fontId="43" fillId="0" borderId="1" xfId="2" applyNumberFormat="1" applyFont="1" applyBorder="1" applyAlignment="1">
      <alignment horizontal="center" vertical="center"/>
    </xf>
    <xf numFmtId="164" fontId="43" fillId="3" borderId="1" xfId="2" applyNumberFormat="1" applyFont="1" applyFill="1" applyBorder="1" applyAlignment="1">
      <alignment horizontal="center" vertical="center"/>
    </xf>
    <xf numFmtId="0" fontId="43" fillId="0" borderId="1" xfId="0" applyFont="1" applyBorder="1"/>
    <xf numFmtId="164" fontId="43" fillId="0" borderId="1" xfId="2" applyNumberFormat="1" applyFont="1" applyBorder="1" applyAlignment="1">
      <alignment horizontal="right" vertical="center"/>
    </xf>
    <xf numFmtId="166" fontId="43" fillId="0" borderId="1" xfId="2" applyNumberFormat="1" applyFont="1" applyBorder="1" applyAlignment="1">
      <alignment horizontal="right" vertical="center"/>
    </xf>
    <xf numFmtId="164" fontId="43" fillId="0" borderId="1" xfId="2" applyNumberFormat="1" applyFont="1" applyBorder="1" applyAlignment="1">
      <alignment horizontal="center" vertical="center"/>
    </xf>
    <xf numFmtId="1" fontId="43" fillId="0" borderId="1" xfId="2" applyNumberFormat="1" applyFont="1" applyBorder="1" applyAlignment="1">
      <alignment horizontal="center" vertical="center"/>
    </xf>
    <xf numFmtId="164" fontId="64" fillId="0" borderId="10" xfId="2" applyNumberFormat="1" applyFont="1" applyBorder="1" applyAlignment="1">
      <alignment horizontal="center" vertical="center"/>
    </xf>
    <xf numFmtId="164" fontId="43" fillId="0" borderId="1" xfId="2" applyNumberFormat="1" applyFont="1" applyBorder="1" applyAlignment="1">
      <alignment horizontal="left" vertical="center"/>
    </xf>
    <xf numFmtId="0" fontId="71" fillId="0" borderId="10" xfId="2" applyFont="1" applyBorder="1" applyAlignment="1">
      <alignment horizontal="left" vertical="center"/>
    </xf>
    <xf numFmtId="0" fontId="71" fillId="0" borderId="10" xfId="2" applyFont="1" applyBorder="1" applyAlignment="1">
      <alignment horizontal="center" vertical="center"/>
    </xf>
    <xf numFmtId="0" fontId="71" fillId="0" borderId="1" xfId="2" applyFont="1" applyBorder="1" applyAlignment="1">
      <alignment horizontal="left" vertical="center"/>
    </xf>
    <xf numFmtId="0" fontId="71" fillId="0" borderId="1" xfId="2" applyFont="1" applyBorder="1" applyAlignment="1">
      <alignment horizontal="center" vertical="center"/>
    </xf>
    <xf numFmtId="14" fontId="71" fillId="0" borderId="1" xfId="2" applyNumberFormat="1" applyFont="1" applyBorder="1" applyAlignment="1">
      <alignment horizontal="center" vertical="center"/>
    </xf>
    <xf numFmtId="0" fontId="101" fillId="0" borderId="1" xfId="2" applyFont="1" applyBorder="1" applyAlignment="1">
      <alignment horizontal="left" vertical="center"/>
    </xf>
    <xf numFmtId="14" fontId="101" fillId="0" borderId="1" xfId="2" applyNumberFormat="1" applyFont="1" applyBorder="1" applyAlignment="1">
      <alignment horizontal="center" vertical="center"/>
    </xf>
    <xf numFmtId="0" fontId="102" fillId="0" borderId="0" xfId="0" applyFont="1" applyBorder="1" applyAlignment="1"/>
    <xf numFmtId="1" fontId="68" fillId="0" borderId="0" xfId="1" applyNumberFormat="1" applyFont="1" applyAlignment="1">
      <alignment horizontal="center"/>
    </xf>
    <xf numFmtId="1" fontId="70" fillId="0" borderId="5" xfId="1" applyNumberFormat="1" applyFont="1" applyBorder="1" applyAlignment="1">
      <alignment horizontal="center" vertical="center"/>
    </xf>
    <xf numFmtId="1" fontId="64" fillId="0" borderId="10" xfId="2" applyNumberFormat="1" applyFont="1" applyBorder="1" applyAlignment="1">
      <alignment horizontal="center" vertical="center"/>
    </xf>
    <xf numFmtId="1" fontId="73" fillId="0" borderId="0" xfId="1" applyNumberFormat="1" applyFont="1"/>
    <xf numFmtId="1" fontId="68" fillId="0" borderId="0" xfId="1" applyNumberFormat="1" applyFont="1"/>
    <xf numFmtId="1" fontId="73" fillId="0" borderId="0" xfId="0" applyNumberFormat="1" applyFont="1"/>
    <xf numFmtId="1" fontId="1" fillId="0" borderId="0" xfId="0" applyNumberFormat="1" applyFont="1"/>
    <xf numFmtId="0" fontId="103" fillId="0" borderId="0" xfId="1" applyFont="1" applyAlignment="1"/>
    <xf numFmtId="0" fontId="103" fillId="0" borderId="0" xfId="1" applyFont="1" applyAlignment="1">
      <alignment horizontal="right"/>
    </xf>
    <xf numFmtId="0" fontId="104" fillId="0" borderId="0" xfId="1" applyFont="1" applyAlignment="1"/>
    <xf numFmtId="4" fontId="49" fillId="0" borderId="7" xfId="0" applyNumberFormat="1" applyFont="1" applyBorder="1" applyAlignment="1">
      <alignment horizontal="right" wrapText="1"/>
    </xf>
    <xf numFmtId="0" fontId="45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right" wrapText="1"/>
    </xf>
    <xf numFmtId="0" fontId="44" fillId="0" borderId="0" xfId="0" applyFont="1" applyAlignment="1"/>
    <xf numFmtId="0" fontId="40" fillId="0" borderId="0" xfId="20" applyFont="1" applyBorder="1" applyAlignment="1">
      <alignment horizontal="center"/>
    </xf>
    <xf numFmtId="3" fontId="40" fillId="0" borderId="0" xfId="20" applyNumberFormat="1" applyFont="1" applyFill="1" applyBorder="1" applyAlignment="1">
      <alignment horizontal="center" vertical="center"/>
    </xf>
    <xf numFmtId="14" fontId="40" fillId="0" borderId="0" xfId="20" applyNumberFormat="1" applyFont="1" applyFill="1" applyBorder="1" applyAlignment="1">
      <alignment horizontal="center" vertical="center"/>
    </xf>
    <xf numFmtId="0" fontId="40" fillId="0" borderId="0" xfId="20" applyFont="1" applyBorder="1" applyAlignment="1">
      <alignment vertical="center" wrapText="1"/>
    </xf>
    <xf numFmtId="0" fontId="44" fillId="0" borderId="0" xfId="0" applyFont="1" applyBorder="1"/>
    <xf numFmtId="0" fontId="57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4" fontId="45" fillId="0" borderId="1" xfId="0" applyNumberFormat="1" applyFont="1" applyBorder="1" applyAlignment="1">
      <alignment vertical="center" wrapText="1"/>
    </xf>
    <xf numFmtId="2" fontId="40" fillId="0" borderId="1" xfId="0" applyNumberFormat="1" applyFont="1" applyBorder="1" applyAlignment="1">
      <alignment horizontal="right" vertical="center" wrapText="1"/>
    </xf>
    <xf numFmtId="164" fontId="45" fillId="0" borderId="2" xfId="0" applyNumberFormat="1" applyFont="1" applyBorder="1" applyAlignment="1">
      <alignment horizontal="right" vertical="center" wrapText="1"/>
    </xf>
    <xf numFmtId="164" fontId="40" fillId="0" borderId="9" xfId="0" applyNumberFormat="1" applyFont="1" applyBorder="1" applyAlignment="1">
      <alignment horizontal="right" vertical="center" wrapText="1"/>
    </xf>
    <xf numFmtId="0" fontId="45" fillId="0" borderId="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3" fillId="0" borderId="1" xfId="20" applyFont="1" applyBorder="1" applyAlignment="1">
      <alignment horizontal="center"/>
    </xf>
    <xf numFmtId="0" fontId="51" fillId="0" borderId="1" xfId="0" applyFont="1" applyBorder="1" applyAlignment="1">
      <alignment horizontal="center" wrapText="1"/>
    </xf>
    <xf numFmtId="0" fontId="49" fillId="0" borderId="7" xfId="0" applyFont="1" applyBorder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61" fillId="0" borderId="0" xfId="1" applyFont="1" applyAlignment="1">
      <alignment horizontal="center"/>
    </xf>
    <xf numFmtId="0" fontId="70" fillId="0" borderId="13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3" fillId="0" borderId="10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56" fillId="3" borderId="1" xfId="1" applyFont="1" applyFill="1" applyBorder="1" applyAlignment="1">
      <alignment vertical="center"/>
    </xf>
    <xf numFmtId="0" fontId="20" fillId="3" borderId="1" xfId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14" fontId="20" fillId="0" borderId="1" xfId="1" applyNumberFormat="1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vertical="center"/>
    </xf>
    <xf numFmtId="166" fontId="26" fillId="0" borderId="1" xfId="1" applyNumberFormat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14" fontId="20" fillId="3" borderId="1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82" fillId="3" borderId="1" xfId="1" applyFont="1" applyFill="1" applyBorder="1" applyAlignment="1">
      <alignment vertical="center"/>
    </xf>
    <xf numFmtId="14" fontId="27" fillId="0" borderId="9" xfId="1" applyNumberFormat="1" applyFont="1" applyBorder="1" applyAlignment="1">
      <alignment horizontal="center" vertical="center" wrapText="1"/>
    </xf>
    <xf numFmtId="3" fontId="27" fillId="0" borderId="9" xfId="1" applyNumberFormat="1" applyFont="1" applyBorder="1" applyAlignment="1">
      <alignment horizontal="center" vertical="center"/>
    </xf>
    <xf numFmtId="2" fontId="27" fillId="0" borderId="9" xfId="1" applyNumberFormat="1" applyFont="1" applyBorder="1" applyAlignment="1">
      <alignment horizontal="center" vertical="center"/>
    </xf>
    <xf numFmtId="164" fontId="27" fillId="0" borderId="9" xfId="1" applyNumberFormat="1" applyFont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164" fontId="21" fillId="0" borderId="9" xfId="1" applyNumberFormat="1" applyFont="1" applyBorder="1" applyAlignment="1">
      <alignment horizontal="center" vertical="center" wrapText="1"/>
    </xf>
    <xf numFmtId="3" fontId="23" fillId="0" borderId="9" xfId="1" applyNumberFormat="1" applyFont="1" applyBorder="1" applyAlignment="1">
      <alignment horizontal="center" vertical="top"/>
    </xf>
    <xf numFmtId="0" fontId="51" fillId="0" borderId="1" xfId="0" applyFont="1" applyBorder="1" applyAlignment="1">
      <alignment horizontal="right" vertical="center" wrapText="1"/>
    </xf>
    <xf numFmtId="0" fontId="99" fillId="0" borderId="4" xfId="1" applyFont="1" applyBorder="1" applyAlignment="1">
      <alignment horizontal="right" vertical="center"/>
    </xf>
    <xf numFmtId="0" fontId="100" fillId="0" borderId="4" xfId="1" applyFont="1" applyBorder="1" applyAlignment="1">
      <alignment horizontal="right" vertical="center"/>
    </xf>
    <xf numFmtId="0" fontId="51" fillId="0" borderId="0" xfId="0" applyFont="1" applyAlignment="1">
      <alignment horizontal="right"/>
    </xf>
    <xf numFmtId="2" fontId="51" fillId="0" borderId="1" xfId="1" applyNumberFormat="1" applyFont="1" applyBorder="1" applyAlignment="1">
      <alignment horizontal="right" vertical="center" wrapText="1"/>
    </xf>
    <xf numFmtId="166" fontId="51" fillId="0" borderId="1" xfId="1" applyNumberFormat="1" applyFont="1" applyBorder="1" applyAlignment="1">
      <alignment horizontal="right" vertical="center" wrapText="1"/>
    </xf>
    <xf numFmtId="0" fontId="51" fillId="0" borderId="1" xfId="1" applyFont="1" applyBorder="1" applyAlignment="1">
      <alignment horizontal="right" vertical="center"/>
    </xf>
    <xf numFmtId="0" fontId="51" fillId="0" borderId="1" xfId="1" applyFont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2" fontId="64" fillId="3" borderId="1" xfId="20" applyNumberFormat="1" applyFont="1" applyFill="1" applyBorder="1" applyAlignment="1">
      <alignment horizontal="right"/>
    </xf>
    <xf numFmtId="166" fontId="51" fillId="3" borderId="1" xfId="20" applyNumberFormat="1" applyFont="1" applyFill="1" applyBorder="1" applyAlignment="1">
      <alignment horizontal="right"/>
    </xf>
    <xf numFmtId="164" fontId="51" fillId="3" borderId="1" xfId="20" applyNumberFormat="1" applyFont="1" applyFill="1" applyBorder="1" applyAlignment="1">
      <alignment horizontal="right"/>
    </xf>
    <xf numFmtId="0" fontId="51" fillId="3" borderId="1" xfId="20" applyFont="1" applyFill="1" applyBorder="1" applyAlignment="1">
      <alignment horizontal="right"/>
    </xf>
    <xf numFmtId="0" fontId="63" fillId="0" borderId="1" xfId="0" applyFont="1" applyBorder="1" applyAlignment="1">
      <alignment horizontal="right"/>
    </xf>
    <xf numFmtId="0" fontId="51" fillId="0" borderId="1" xfId="0" applyFont="1" applyBorder="1" applyAlignment="1">
      <alignment horizontal="right"/>
    </xf>
    <xf numFmtId="2" fontId="25" fillId="0" borderId="0" xfId="1" applyNumberFormat="1" applyFont="1" applyAlignment="1"/>
    <xf numFmtId="166" fontId="25" fillId="0" borderId="0" xfId="1" applyNumberFormat="1" applyFont="1" applyAlignment="1"/>
    <xf numFmtId="0" fontId="107" fillId="0" borderId="0" xfId="0" applyFont="1" applyAlignment="1">
      <alignment horizontal="center"/>
    </xf>
    <xf numFmtId="0" fontId="108" fillId="0" borderId="0" xfId="0" applyFont="1" applyAlignment="1">
      <alignment horizontal="center"/>
    </xf>
    <xf numFmtId="0" fontId="107" fillId="0" borderId="0" xfId="0" applyFont="1"/>
    <xf numFmtId="0" fontId="108" fillId="0" borderId="0" xfId="0" applyFont="1"/>
    <xf numFmtId="165" fontId="107" fillId="0" borderId="0" xfId="0" applyNumberFormat="1" applyFont="1" applyAlignment="1">
      <alignment horizontal="center"/>
    </xf>
    <xf numFmtId="0" fontId="107" fillId="0" borderId="0" xfId="0" applyFont="1" applyAlignment="1"/>
    <xf numFmtId="0" fontId="77" fillId="0" borderId="1" xfId="2" applyFont="1" applyBorder="1" applyAlignment="1">
      <alignment horizontal="center" vertical="center"/>
    </xf>
    <xf numFmtId="164" fontId="77" fillId="3" borderId="1" xfId="2" applyNumberFormat="1" applyFont="1" applyFill="1" applyBorder="1" applyAlignment="1">
      <alignment horizontal="center" vertical="center"/>
    </xf>
    <xf numFmtId="164" fontId="77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/>
    </xf>
    <xf numFmtId="14" fontId="18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2" fontId="101" fillId="0" borderId="1" xfId="2" applyNumberFormat="1" applyFont="1" applyBorder="1" applyAlignment="1">
      <alignment horizontal="center" vertical="center"/>
    </xf>
    <xf numFmtId="0" fontId="101" fillId="0" borderId="1" xfId="2" applyFont="1" applyBorder="1" applyAlignment="1">
      <alignment horizontal="center" vertical="center"/>
    </xf>
    <xf numFmtId="0" fontId="111" fillId="0" borderId="1" xfId="2" applyFont="1" applyBorder="1" applyAlignment="1">
      <alignment horizontal="center" vertical="center"/>
    </xf>
    <xf numFmtId="164" fontId="101" fillId="0" borderId="1" xfId="2" applyNumberFormat="1" applyFont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2" fontId="71" fillId="0" borderId="1" xfId="2" applyNumberFormat="1" applyFont="1" applyBorder="1" applyAlignment="1">
      <alignment horizontal="center" vertical="center"/>
    </xf>
    <xf numFmtId="0" fontId="18" fillId="2" borderId="1" xfId="2" applyFont="1" applyFill="1" applyBorder="1" applyAlignment="1">
      <alignment horizontal="left" vertical="center"/>
    </xf>
    <xf numFmtId="0" fontId="18" fillId="2" borderId="1" xfId="2" applyFont="1" applyFill="1" applyBorder="1" applyAlignment="1">
      <alignment horizontal="center" vertical="center"/>
    </xf>
    <xf numFmtId="2" fontId="101" fillId="2" borderId="1" xfId="2" applyNumberFormat="1" applyFont="1" applyFill="1" applyBorder="1" applyAlignment="1">
      <alignment horizontal="center" vertical="center"/>
    </xf>
    <xf numFmtId="0" fontId="101" fillId="2" borderId="1" xfId="2" applyFont="1" applyFill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64" fontId="23" fillId="3" borderId="1" xfId="2" applyNumberFormat="1" applyFont="1" applyFill="1" applyBorder="1" applyAlignment="1">
      <alignment horizontal="center" vertical="center"/>
    </xf>
    <xf numFmtId="2" fontId="23" fillId="0" borderId="1" xfId="2" applyNumberFormat="1" applyFont="1" applyBorder="1" applyAlignment="1">
      <alignment horizontal="center" vertical="center"/>
    </xf>
    <xf numFmtId="164" fontId="18" fillId="3" borderId="1" xfId="2" applyNumberFormat="1" applyFont="1" applyFill="1" applyBorder="1" applyAlignment="1">
      <alignment horizontal="center" vertical="center"/>
    </xf>
    <xf numFmtId="0" fontId="101" fillId="3" borderId="1" xfId="2" applyFont="1" applyFill="1" applyBorder="1" applyAlignment="1">
      <alignment horizontal="center" vertical="center"/>
    </xf>
    <xf numFmtId="164" fontId="101" fillId="3" borderId="1" xfId="2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left" vertical="center"/>
    </xf>
    <xf numFmtId="14" fontId="18" fillId="0" borderId="1" xfId="2" applyNumberFormat="1" applyFont="1" applyFill="1" applyBorder="1" applyAlignment="1">
      <alignment horizontal="center" vertical="center"/>
    </xf>
    <xf numFmtId="2" fontId="18" fillId="0" borderId="1" xfId="2" applyNumberFormat="1" applyFont="1" applyFill="1" applyBorder="1" applyAlignment="1">
      <alignment horizontal="center" vertical="center"/>
    </xf>
    <xf numFmtId="0" fontId="115" fillId="0" borderId="0" xfId="0" applyFont="1" applyBorder="1" applyAlignment="1">
      <alignment vertical="center"/>
    </xf>
    <xf numFmtId="0" fontId="113" fillId="0" borderId="0" xfId="0" applyFont="1" applyBorder="1" applyAlignment="1">
      <alignment vertical="center"/>
    </xf>
    <xf numFmtId="0" fontId="108" fillId="0" borderId="0" xfId="0" applyFont="1" applyBorder="1" applyAlignment="1">
      <alignment horizontal="center"/>
    </xf>
    <xf numFmtId="0" fontId="108" fillId="0" borderId="0" xfId="0" applyFont="1" applyBorder="1" applyAlignment="1"/>
    <xf numFmtId="0" fontId="108" fillId="0" borderId="0" xfId="0" applyFont="1" applyAlignment="1"/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vertical="center"/>
    </xf>
    <xf numFmtId="0" fontId="116" fillId="0" borderId="0" xfId="0" applyFont="1"/>
    <xf numFmtId="0" fontId="116" fillId="0" borderId="0" xfId="0" applyFont="1" applyAlignment="1">
      <alignment horizontal="center"/>
    </xf>
    <xf numFmtId="0" fontId="108" fillId="0" borderId="0" xfId="0" applyFont="1" applyAlignment="1">
      <alignment vertical="center"/>
    </xf>
    <xf numFmtId="0" fontId="117" fillId="0" borderId="0" xfId="0" applyFont="1" applyAlignment="1">
      <alignment horizontal="center"/>
    </xf>
    <xf numFmtId="0" fontId="117" fillId="0" borderId="0" xfId="0" applyFont="1"/>
    <xf numFmtId="0" fontId="117" fillId="0" borderId="0" xfId="0" applyFont="1" applyAlignment="1"/>
    <xf numFmtId="0" fontId="52" fillId="0" borderId="0" xfId="0" applyFont="1"/>
    <xf numFmtId="0" fontId="114" fillId="0" borderId="2" xfId="2" applyFont="1" applyBorder="1" applyAlignment="1">
      <alignment horizontal="center" vertical="center" wrapText="1"/>
    </xf>
    <xf numFmtId="0" fontId="77" fillId="0" borderId="1" xfId="2" applyFont="1" applyFill="1" applyBorder="1" applyAlignment="1">
      <alignment horizontal="center" vertical="center"/>
    </xf>
    <xf numFmtId="0" fontId="118" fillId="0" borderId="1" xfId="0" applyFont="1" applyBorder="1"/>
    <xf numFmtId="2" fontId="118" fillId="0" borderId="1" xfId="0" applyNumberFormat="1" applyFont="1" applyBorder="1"/>
    <xf numFmtId="0" fontId="119" fillId="0" borderId="1" xfId="0" applyFont="1" applyBorder="1"/>
    <xf numFmtId="2" fontId="119" fillId="0" borderId="1" xfId="0" applyNumberFormat="1" applyFont="1" applyBorder="1"/>
    <xf numFmtId="2" fontId="121" fillId="0" borderId="1" xfId="0" applyNumberFormat="1" applyFont="1" applyBorder="1"/>
    <xf numFmtId="2" fontId="118" fillId="0" borderId="1" xfId="0" applyNumberFormat="1" applyFont="1" applyBorder="1" applyAlignment="1">
      <alignment horizontal="center"/>
    </xf>
    <xf numFmtId="0" fontId="57" fillId="0" borderId="0" xfId="0" applyFont="1"/>
    <xf numFmtId="0" fontId="57" fillId="2" borderId="0" xfId="0" applyFont="1" applyFill="1" applyAlignment="1">
      <alignment horizontal="center"/>
    </xf>
    <xf numFmtId="0" fontId="22" fillId="0" borderId="4" xfId="0" applyFont="1" applyBorder="1" applyAlignment="1"/>
    <xf numFmtId="0" fontId="113" fillId="0" borderId="4" xfId="0" applyFont="1" applyBorder="1" applyAlignment="1">
      <alignment horizontal="center" vertical="center" wrapText="1"/>
    </xf>
    <xf numFmtId="0" fontId="114" fillId="2" borderId="4" xfId="0" applyFont="1" applyFill="1" applyBorder="1" applyAlignment="1">
      <alignment horizontal="center" vertical="center" wrapText="1"/>
    </xf>
    <xf numFmtId="0" fontId="114" fillId="0" borderId="4" xfId="0" applyFont="1" applyBorder="1" applyAlignment="1">
      <alignment horizontal="center" vertical="center" wrapText="1"/>
    </xf>
    <xf numFmtId="0" fontId="113" fillId="2" borderId="4" xfId="0" applyFont="1" applyFill="1" applyBorder="1" applyAlignment="1">
      <alignment horizontal="center" vertical="center" wrapText="1"/>
    </xf>
    <xf numFmtId="0" fontId="114" fillId="3" borderId="1" xfId="0" applyFont="1" applyFill="1" applyBorder="1" applyAlignment="1">
      <alignment vertical="center"/>
    </xf>
    <xf numFmtId="14" fontId="114" fillId="3" borderId="1" xfId="0" applyNumberFormat="1" applyFont="1" applyFill="1" applyBorder="1" applyAlignment="1">
      <alignment horizontal="center" vertical="center"/>
    </xf>
    <xf numFmtId="3" fontId="114" fillId="0" borderId="1" xfId="0" applyNumberFormat="1" applyFont="1" applyFill="1" applyBorder="1" applyAlignment="1">
      <alignment horizontal="center" vertical="center"/>
    </xf>
    <xf numFmtId="0" fontId="114" fillId="2" borderId="1" xfId="0" applyFont="1" applyFill="1" applyBorder="1" applyAlignment="1">
      <alignment horizontal="center" vertical="center" wrapText="1"/>
    </xf>
    <xf numFmtId="2" fontId="114" fillId="0" borderId="1" xfId="0" applyNumberFormat="1" applyFont="1" applyBorder="1" applyAlignment="1">
      <alignment horizontal="center" vertical="center" wrapText="1"/>
    </xf>
    <xf numFmtId="164" fontId="114" fillId="0" borderId="1" xfId="0" applyNumberFormat="1" applyFont="1" applyBorder="1" applyAlignment="1">
      <alignment horizontal="center" vertical="center" wrapText="1"/>
    </xf>
    <xf numFmtId="0" fontId="114" fillId="3" borderId="1" xfId="0" applyFont="1" applyFill="1" applyBorder="1" applyAlignment="1">
      <alignment horizontal="center" vertical="center"/>
    </xf>
    <xf numFmtId="166" fontId="126" fillId="2" borderId="1" xfId="0" applyNumberFormat="1" applyFont="1" applyFill="1" applyBorder="1" applyAlignment="1">
      <alignment horizontal="center" vertical="center" wrapText="1"/>
    </xf>
    <xf numFmtId="164" fontId="114" fillId="3" borderId="1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horizontal="center" vertical="center" wrapText="1"/>
    </xf>
    <xf numFmtId="0" fontId="126" fillId="0" borderId="1" xfId="0" applyFont="1" applyBorder="1" applyAlignment="1">
      <alignment horizontal="center" vertical="center" wrapText="1"/>
    </xf>
    <xf numFmtId="164" fontId="126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2" fontId="126" fillId="0" borderId="1" xfId="0" applyNumberFormat="1" applyFont="1" applyBorder="1" applyAlignment="1">
      <alignment horizontal="center" vertical="center" wrapText="1"/>
    </xf>
    <xf numFmtId="0" fontId="127" fillId="2" borderId="1" xfId="0" applyFont="1" applyFill="1" applyBorder="1" applyAlignment="1">
      <alignment horizontal="center" vertical="center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Border="1" applyAlignment="1">
      <alignment vertical="center"/>
    </xf>
    <xf numFmtId="0" fontId="126" fillId="2" borderId="1" xfId="0" applyFont="1" applyFill="1" applyBorder="1" applyAlignment="1">
      <alignment horizontal="center" vertical="center"/>
    </xf>
    <xf numFmtId="165" fontId="114" fillId="3" borderId="1" xfId="0" applyNumberFormat="1" applyFont="1" applyFill="1" applyBorder="1" applyAlignment="1">
      <alignment horizontal="center" vertical="center"/>
    </xf>
    <xf numFmtId="166" fontId="114" fillId="2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114" fillId="2" borderId="9" xfId="0" applyFont="1" applyFill="1" applyBorder="1" applyAlignment="1">
      <alignment horizontal="center" vertical="center" wrapText="1"/>
    </xf>
    <xf numFmtId="164" fontId="114" fillId="0" borderId="9" xfId="0" applyNumberFormat="1" applyFont="1" applyBorder="1" applyAlignment="1">
      <alignment horizontal="center" vertical="center" wrapText="1"/>
    </xf>
    <xf numFmtId="0" fontId="22" fillId="0" borderId="1" xfId="0" applyFont="1" applyBorder="1" applyAlignment="1"/>
    <xf numFmtId="0" fontId="114" fillId="2" borderId="1" xfId="0" applyFont="1" applyFill="1" applyBorder="1" applyAlignment="1">
      <alignment horizontal="center" vertical="center"/>
    </xf>
    <xf numFmtId="166" fontId="127" fillId="2" borderId="1" xfId="0" applyNumberFormat="1" applyFont="1" applyFill="1" applyBorder="1" applyAlignment="1">
      <alignment horizontal="center" vertical="center"/>
    </xf>
    <xf numFmtId="2" fontId="127" fillId="0" borderId="1" xfId="0" applyNumberFormat="1" applyFont="1" applyBorder="1" applyAlignment="1">
      <alignment horizontal="center" vertical="center"/>
    </xf>
    <xf numFmtId="0" fontId="126" fillId="0" borderId="1" xfId="0" applyFont="1" applyBorder="1" applyAlignment="1">
      <alignment horizontal="center" vertical="center"/>
    </xf>
    <xf numFmtId="14" fontId="114" fillId="0" borderId="1" xfId="0" applyNumberFormat="1" applyFont="1" applyBorder="1" applyAlignment="1">
      <alignment horizontal="center" vertical="center" wrapText="1"/>
    </xf>
    <xf numFmtId="2" fontId="114" fillId="0" borderId="1" xfId="0" applyNumberFormat="1" applyFont="1" applyFill="1" applyBorder="1" applyAlignment="1">
      <alignment horizontal="center" vertical="center" wrapText="1"/>
    </xf>
    <xf numFmtId="166" fontId="126" fillId="2" borderId="1" xfId="0" applyNumberFormat="1" applyFont="1" applyFill="1" applyBorder="1" applyAlignment="1">
      <alignment horizontal="center" vertical="center"/>
    </xf>
    <xf numFmtId="3" fontId="126" fillId="0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0" fontId="114" fillId="0" borderId="1" xfId="0" applyFont="1" applyBorder="1" applyAlignment="1">
      <alignment vertical="center" wrapText="1"/>
    </xf>
    <xf numFmtId="0" fontId="114" fillId="0" borderId="1" xfId="0" applyFont="1" applyBorder="1" applyAlignment="1">
      <alignment horizontal="center" vertical="center"/>
    </xf>
    <xf numFmtId="0" fontId="126" fillId="0" borderId="1" xfId="0" applyFont="1" applyBorder="1" applyAlignment="1">
      <alignment vertical="center"/>
    </xf>
    <xf numFmtId="0" fontId="115" fillId="0" borderId="0" xfId="0" applyFont="1" applyBorder="1" applyAlignment="1">
      <alignment horizontal="center" vertical="center"/>
    </xf>
    <xf numFmtId="0" fontId="115" fillId="0" borderId="0" xfId="0" applyFont="1" applyBorder="1" applyAlignment="1"/>
    <xf numFmtId="0" fontId="108" fillId="0" borderId="0" xfId="0" applyFont="1" applyBorder="1" applyAlignment="1">
      <alignment horizontal="center" vertical="center"/>
    </xf>
    <xf numFmtId="0" fontId="114" fillId="0" borderId="1" xfId="0" applyFont="1" applyBorder="1" applyAlignment="1">
      <alignment horizontal="center" vertical="center" wrapText="1"/>
    </xf>
    <xf numFmtId="0" fontId="129" fillId="0" borderId="1" xfId="0" applyFont="1" applyBorder="1" applyAlignment="1"/>
    <xf numFmtId="2" fontId="126" fillId="0" borderId="1" xfId="0" applyNumberFormat="1" applyFont="1" applyBorder="1" applyAlignment="1">
      <alignment horizontal="center" vertical="center"/>
    </xf>
    <xf numFmtId="0" fontId="129" fillId="3" borderId="1" xfId="0" applyFont="1" applyFill="1" applyBorder="1" applyAlignment="1">
      <alignment vertical="center"/>
    </xf>
    <xf numFmtId="0" fontId="114" fillId="0" borderId="0" xfId="0" applyFont="1" applyBorder="1" applyAlignment="1">
      <alignment vertical="center"/>
    </xf>
    <xf numFmtId="177" fontId="57" fillId="0" borderId="0" xfId="0" applyNumberFormat="1" applyFont="1" applyAlignment="1">
      <alignment horizontal="center"/>
    </xf>
    <xf numFmtId="177" fontId="0" fillId="0" borderId="0" xfId="0" applyNumberFormat="1"/>
    <xf numFmtId="0" fontId="126" fillId="3" borderId="1" xfId="0" applyFont="1" applyFill="1" applyBorder="1" applyAlignment="1">
      <alignment vertical="center"/>
    </xf>
    <xf numFmtId="14" fontId="126" fillId="3" borderId="1" xfId="0" applyNumberFormat="1" applyFont="1" applyFill="1" applyBorder="1" applyAlignment="1">
      <alignment horizontal="center" vertical="center"/>
    </xf>
    <xf numFmtId="0" fontId="79" fillId="0" borderId="33" xfId="0" applyFont="1" applyBorder="1" applyAlignment="1">
      <alignment horizontal="center" wrapText="1"/>
    </xf>
    <xf numFmtId="0" fontId="79" fillId="0" borderId="32" xfId="0" applyFont="1" applyBorder="1" applyAlignment="1">
      <alignment wrapText="1"/>
    </xf>
    <xf numFmtId="14" fontId="79" fillId="0" borderId="33" xfId="0" applyNumberFormat="1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79" fillId="0" borderId="29" xfId="0" applyFont="1" applyBorder="1" applyAlignment="1">
      <alignment wrapText="1"/>
    </xf>
    <xf numFmtId="14" fontId="79" fillId="0" borderId="5" xfId="0" applyNumberFormat="1" applyFont="1" applyBorder="1" applyAlignment="1">
      <alignment wrapText="1"/>
    </xf>
    <xf numFmtId="0" fontId="79" fillId="0" borderId="4" xfId="0" applyFont="1" applyBorder="1" applyAlignment="1">
      <alignment wrapText="1"/>
    </xf>
    <xf numFmtId="0" fontId="79" fillId="0" borderId="5" xfId="0" applyFont="1" applyBorder="1" applyAlignment="1">
      <alignment wrapText="1"/>
    </xf>
    <xf numFmtId="171" fontId="79" fillId="0" borderId="5" xfId="0" applyNumberFormat="1" applyFont="1" applyBorder="1" applyAlignment="1">
      <alignment wrapText="1"/>
    </xf>
    <xf numFmtId="0" fontId="79" fillId="0" borderId="0" xfId="0" applyFont="1" applyAlignment="1">
      <alignment wrapText="1"/>
    </xf>
    <xf numFmtId="0" fontId="79" fillId="0" borderId="0" xfId="0" applyFont="1" applyAlignment="1"/>
    <xf numFmtId="0" fontId="60" fillId="0" borderId="0" xfId="0" applyFont="1" applyAlignment="1"/>
    <xf numFmtId="0" fontId="127" fillId="0" borderId="1" xfId="0" applyFont="1" applyBorder="1" applyAlignment="1">
      <alignment horizontal="center" vertical="center" wrapText="1"/>
    </xf>
    <xf numFmtId="0" fontId="126" fillId="3" borderId="1" xfId="0" applyFont="1" applyFill="1" applyBorder="1" applyAlignment="1">
      <alignment horizontal="center" vertical="center"/>
    </xf>
    <xf numFmtId="177" fontId="114" fillId="0" borderId="1" xfId="21" applyNumberFormat="1" applyFont="1" applyBorder="1" applyAlignment="1">
      <alignment horizontal="center" vertical="center"/>
    </xf>
    <xf numFmtId="177" fontId="126" fillId="0" borderId="1" xfId="21" applyNumberFormat="1" applyFont="1" applyBorder="1" applyAlignment="1">
      <alignment horizontal="center" vertical="center"/>
    </xf>
    <xf numFmtId="177" fontId="113" fillId="0" borderId="1" xfId="2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3" fillId="0" borderId="9" xfId="0" applyFont="1" applyBorder="1" applyAlignment="1">
      <alignment horizontal="center" vertical="center"/>
    </xf>
    <xf numFmtId="2" fontId="114" fillId="2" borderId="9" xfId="0" applyNumberFormat="1" applyFont="1" applyFill="1" applyBorder="1" applyAlignment="1">
      <alignment horizontal="center" vertical="center"/>
    </xf>
    <xf numFmtId="2" fontId="113" fillId="2" borderId="9" xfId="0" applyNumberFormat="1" applyFont="1" applyFill="1" applyBorder="1" applyAlignment="1">
      <alignment horizontal="center" vertical="center"/>
    </xf>
    <xf numFmtId="0" fontId="113" fillId="2" borderId="9" xfId="0" applyFont="1" applyFill="1" applyBorder="1" applyAlignment="1">
      <alignment horizontal="center" vertical="center"/>
    </xf>
    <xf numFmtId="164" fontId="113" fillId="0" borderId="9" xfId="0" applyNumberFormat="1" applyFont="1" applyBorder="1" applyAlignment="1">
      <alignment horizontal="center" vertical="center" wrapText="1"/>
    </xf>
    <xf numFmtId="164" fontId="113" fillId="2" borderId="9" xfId="0" applyNumberFormat="1" applyFont="1" applyFill="1" applyBorder="1" applyAlignment="1">
      <alignment horizontal="center" vertical="center"/>
    </xf>
    <xf numFmtId="164" fontId="113" fillId="0" borderId="9" xfId="0" applyNumberFormat="1" applyFont="1" applyBorder="1" applyAlignment="1">
      <alignment horizontal="center" vertical="center"/>
    </xf>
    <xf numFmtId="2" fontId="113" fillId="0" borderId="9" xfId="0" applyNumberFormat="1" applyFont="1" applyBorder="1" applyAlignment="1">
      <alignment horizontal="center" vertical="center"/>
    </xf>
    <xf numFmtId="164" fontId="114" fillId="0" borderId="9" xfId="0" applyNumberFormat="1" applyFont="1" applyBorder="1" applyAlignment="1">
      <alignment horizontal="center" vertical="center"/>
    </xf>
    <xf numFmtId="177" fontId="113" fillId="0" borderId="9" xfId="21" applyNumberFormat="1" applyFont="1" applyBorder="1" applyAlignment="1">
      <alignment horizontal="center" vertical="center"/>
    </xf>
    <xf numFmtId="177" fontId="114" fillId="0" borderId="4" xfId="21" applyNumberFormat="1" applyFont="1" applyBorder="1" applyAlignment="1">
      <alignment horizontal="center"/>
    </xf>
    <xf numFmtId="0" fontId="22" fillId="3" borderId="18" xfId="0" applyFont="1" applyFill="1" applyBorder="1" applyAlignment="1">
      <alignment vertical="center"/>
    </xf>
    <xf numFmtId="49" fontId="18" fillId="0" borderId="1" xfId="2" applyNumberFormat="1" applyFont="1" applyBorder="1" applyAlignment="1">
      <alignment horizontal="center" vertical="center"/>
    </xf>
    <xf numFmtId="164" fontId="18" fillId="3" borderId="1" xfId="2" applyNumberFormat="1" applyFont="1" applyFill="1" applyBorder="1" applyAlignment="1">
      <alignment vertical="center"/>
    </xf>
    <xf numFmtId="0" fontId="114" fillId="3" borderId="17" xfId="0" applyFont="1" applyFill="1" applyBorder="1" applyAlignment="1">
      <alignment vertical="center"/>
    </xf>
    <xf numFmtId="14" fontId="114" fillId="3" borderId="18" xfId="0" applyNumberFormat="1" applyFont="1" applyFill="1" applyBorder="1" applyAlignment="1">
      <alignment horizontal="center" vertical="center"/>
    </xf>
    <xf numFmtId="0" fontId="0" fillId="0" borderId="25" xfId="0" applyBorder="1"/>
    <xf numFmtId="0" fontId="110" fillId="0" borderId="1" xfId="2" applyFont="1" applyBorder="1" applyAlignment="1">
      <alignment horizontal="center" vertical="center"/>
    </xf>
    <xf numFmtId="0" fontId="55" fillId="0" borderId="1" xfId="2" applyFont="1" applyBorder="1" applyAlignment="1">
      <alignment horizontal="center" vertical="center"/>
    </xf>
    <xf numFmtId="0" fontId="114" fillId="0" borderId="1" xfId="2" applyFont="1" applyBorder="1" applyAlignment="1">
      <alignment horizontal="center" vertical="center"/>
    </xf>
    <xf numFmtId="0" fontId="112" fillId="0" borderId="1" xfId="2" applyFont="1" applyBorder="1" applyAlignment="1">
      <alignment horizontal="center" vertical="center"/>
    </xf>
    <xf numFmtId="0" fontId="73" fillId="0" borderId="18" xfId="0" applyFont="1" applyBorder="1"/>
    <xf numFmtId="0" fontId="120" fillId="0" borderId="18" xfId="0" applyFont="1" applyBorder="1"/>
    <xf numFmtId="170" fontId="77" fillId="0" borderId="1" xfId="15" applyNumberFormat="1" applyFont="1" applyBorder="1" applyAlignment="1">
      <alignment vertical="center"/>
    </xf>
    <xf numFmtId="170" fontId="18" fillId="0" borderId="1" xfId="15" applyNumberFormat="1" applyFont="1" applyBorder="1" applyAlignment="1">
      <alignment horizontal="center" vertical="center"/>
    </xf>
    <xf numFmtId="170" fontId="18" fillId="0" borderId="1" xfId="15" applyNumberFormat="1" applyFont="1" applyBorder="1" applyAlignment="1">
      <alignment vertical="top"/>
    </xf>
    <xf numFmtId="170" fontId="101" fillId="0" borderId="1" xfId="15" applyNumberFormat="1" applyFont="1" applyBorder="1" applyAlignment="1">
      <alignment vertical="top"/>
    </xf>
    <xf numFmtId="170" fontId="23" fillId="0" borderId="1" xfId="15" applyNumberFormat="1" applyFont="1" applyBorder="1" applyAlignment="1">
      <alignment vertical="center"/>
    </xf>
    <xf numFmtId="170" fontId="18" fillId="0" borderId="1" xfId="15" applyNumberFormat="1" applyFont="1" applyBorder="1" applyAlignment="1">
      <alignment vertical="center"/>
    </xf>
    <xf numFmtId="0" fontId="77" fillId="0" borderId="1" xfId="2" applyFont="1" applyBorder="1" applyAlignment="1">
      <alignment horizontal="left" vertical="center"/>
    </xf>
    <xf numFmtId="2" fontId="77" fillId="0" borderId="1" xfId="2" applyNumberFormat="1" applyFont="1" applyBorder="1" applyAlignment="1">
      <alignment horizontal="center" vertical="center"/>
    </xf>
    <xf numFmtId="0" fontId="107" fillId="2" borderId="0" xfId="0" applyFont="1" applyFill="1" applyAlignment="1"/>
    <xf numFmtId="0" fontId="108" fillId="2" borderId="0" xfId="0" applyFont="1" applyFill="1" applyAlignment="1"/>
    <xf numFmtId="165" fontId="107" fillId="2" borderId="0" xfId="0" applyNumberFormat="1" applyFont="1" applyFill="1" applyAlignment="1">
      <alignment horizontal="center"/>
    </xf>
    <xf numFmtId="2" fontId="43" fillId="2" borderId="1" xfId="2" applyNumberFormat="1" applyFont="1" applyFill="1" applyBorder="1" applyAlignment="1">
      <alignment horizontal="center" vertical="center"/>
    </xf>
    <xf numFmtId="49" fontId="18" fillId="2" borderId="1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0" fontId="100" fillId="2" borderId="1" xfId="0" applyFont="1" applyFill="1" applyBorder="1"/>
    <xf numFmtId="0" fontId="118" fillId="2" borderId="1" xfId="0" applyFont="1" applyFill="1" applyBorder="1"/>
    <xf numFmtId="0" fontId="118" fillId="2" borderId="1" xfId="0" applyFont="1" applyFill="1" applyBorder="1" applyAlignment="1">
      <alignment horizontal="center"/>
    </xf>
    <xf numFmtId="0" fontId="122" fillId="2" borderId="1" xfId="0" applyFont="1" applyFill="1" applyBorder="1"/>
    <xf numFmtId="0" fontId="121" fillId="2" borderId="1" xfId="0" applyFont="1" applyFill="1" applyBorder="1"/>
    <xf numFmtId="49" fontId="113" fillId="2" borderId="1" xfId="2" applyNumberFormat="1" applyFont="1" applyFill="1" applyBorder="1" applyAlignment="1">
      <alignment horizontal="center" vertical="center"/>
    </xf>
    <xf numFmtId="1" fontId="113" fillId="2" borderId="1" xfId="2" applyNumberFormat="1" applyFont="1" applyFill="1" applyBorder="1" applyAlignment="1">
      <alignment horizontal="center" vertical="center"/>
    </xf>
    <xf numFmtId="49" fontId="101" fillId="2" borderId="1" xfId="2" applyNumberFormat="1" applyFont="1" applyFill="1" applyBorder="1" applyAlignment="1">
      <alignment horizontal="center" vertical="center"/>
    </xf>
    <xf numFmtId="0" fontId="115" fillId="2" borderId="0" xfId="0" applyFont="1" applyFill="1" applyBorder="1" applyAlignment="1">
      <alignment vertical="center"/>
    </xf>
    <xf numFmtId="0" fontId="108" fillId="2" borderId="0" xfId="0" applyFont="1" applyFill="1" applyAlignment="1">
      <alignment horizontal="center"/>
    </xf>
    <xf numFmtId="0" fontId="107" fillId="2" borderId="0" xfId="0" applyFont="1" applyFill="1" applyAlignment="1">
      <alignment horizontal="center"/>
    </xf>
    <xf numFmtId="0" fontId="116" fillId="2" borderId="0" xfId="0" applyFont="1" applyFill="1"/>
    <xf numFmtId="0" fontId="0" fillId="2" borderId="0" xfId="0" applyFill="1"/>
    <xf numFmtId="0" fontId="55" fillId="0" borderId="4" xfId="2" applyFont="1" applyBorder="1" applyAlignment="1">
      <alignment horizontal="center" vertical="center" wrapText="1"/>
    </xf>
    <xf numFmtId="2" fontId="55" fillId="0" borderId="4" xfId="2" applyNumberFormat="1" applyFont="1" applyBorder="1" applyAlignment="1">
      <alignment horizontal="center" vertical="center" wrapText="1"/>
    </xf>
    <xf numFmtId="2" fontId="55" fillId="2" borderId="4" xfId="2" applyNumberFormat="1" applyFont="1" applyFill="1" applyBorder="1" applyAlignment="1">
      <alignment horizontal="center" vertical="center" wrapText="1"/>
    </xf>
    <xf numFmtId="0" fontId="56" fillId="0" borderId="4" xfId="2" applyFont="1" applyBorder="1" applyAlignment="1">
      <alignment horizontal="center" vertical="center" wrapText="1"/>
    </xf>
    <xf numFmtId="170" fontId="55" fillId="0" borderId="4" xfId="15" applyNumberFormat="1" applyFont="1" applyBorder="1" applyAlignment="1">
      <alignment vertical="center" wrapText="1"/>
    </xf>
    <xf numFmtId="2" fontId="113" fillId="2" borderId="2" xfId="2" applyNumberFormat="1" applyFont="1" applyFill="1" applyBorder="1" applyAlignment="1">
      <alignment horizontal="center" vertical="center" wrapText="1"/>
    </xf>
    <xf numFmtId="2" fontId="113" fillId="2" borderId="2" xfId="2" applyNumberFormat="1" applyFont="1" applyFill="1" applyBorder="1" applyAlignment="1">
      <alignment vertical="center" wrapText="1"/>
    </xf>
    <xf numFmtId="0" fontId="107" fillId="0" borderId="0" xfId="0" applyFont="1" applyBorder="1" applyAlignment="1">
      <alignment horizontal="center"/>
    </xf>
    <xf numFmtId="0" fontId="107" fillId="0" borderId="0" xfId="0" applyFont="1" applyBorder="1" applyAlignment="1">
      <alignment vertical="center"/>
    </xf>
    <xf numFmtId="0" fontId="70" fillId="0" borderId="9" xfId="2" applyFont="1" applyBorder="1" applyAlignment="1">
      <alignment horizontal="left" vertical="center"/>
    </xf>
    <xf numFmtId="0" fontId="70" fillId="0" borderId="9" xfId="2" applyFont="1" applyBorder="1" applyAlignment="1">
      <alignment horizontal="center" vertical="center"/>
    </xf>
    <xf numFmtId="2" fontId="69" fillId="0" borderId="9" xfId="2" applyNumberFormat="1" applyFont="1" applyBorder="1" applyAlignment="1">
      <alignment horizontal="center" vertical="center"/>
    </xf>
    <xf numFmtId="2" fontId="69" fillId="2" borderId="9" xfId="2" applyNumberFormat="1" applyFont="1" applyFill="1" applyBorder="1" applyAlignment="1">
      <alignment horizontal="center" vertical="center"/>
    </xf>
    <xf numFmtId="0" fontId="69" fillId="0" borderId="9" xfId="2" applyFont="1" applyBorder="1" applyAlignment="1">
      <alignment horizontal="center" vertical="center"/>
    </xf>
    <xf numFmtId="2" fontId="114" fillId="2" borderId="4" xfId="2" applyNumberFormat="1" applyFont="1" applyFill="1" applyBorder="1" applyAlignment="1">
      <alignment horizontal="center" vertical="center" wrapText="1"/>
    </xf>
    <xf numFmtId="2" fontId="114" fillId="2" borderId="4" xfId="2" applyNumberFormat="1" applyFont="1" applyFill="1" applyBorder="1" applyAlignment="1">
      <alignment vertical="center" wrapText="1"/>
    </xf>
    <xf numFmtId="49" fontId="125" fillId="2" borderId="1" xfId="2" applyNumberFormat="1" applyFont="1" applyFill="1" applyBorder="1" applyAlignment="1">
      <alignment horizontal="center" vertical="center"/>
    </xf>
    <xf numFmtId="1" fontId="125" fillId="2" borderId="1" xfId="2" applyNumberFormat="1" applyFont="1" applyFill="1" applyBorder="1" applyAlignment="1">
      <alignment horizontal="center" vertical="center"/>
    </xf>
    <xf numFmtId="49" fontId="126" fillId="2" borderId="1" xfId="2" applyNumberFormat="1" applyFont="1" applyFill="1" applyBorder="1" applyAlignment="1">
      <alignment horizontal="center" vertical="center"/>
    </xf>
    <xf numFmtId="1" fontId="126" fillId="2" borderId="1" xfId="2" applyNumberFormat="1" applyFont="1" applyFill="1" applyBorder="1" applyAlignment="1">
      <alignment horizontal="center" vertical="center"/>
    </xf>
    <xf numFmtId="1" fontId="101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49" fontId="130" fillId="2" borderId="1" xfId="2" applyNumberFormat="1" applyFont="1" applyFill="1" applyBorder="1" applyAlignment="1">
      <alignment horizontal="center" vertical="center"/>
    </xf>
    <xf numFmtId="1" fontId="130" fillId="2" borderId="1" xfId="2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 vertical="center"/>
    </xf>
    <xf numFmtId="0" fontId="115" fillId="2" borderId="0" xfId="0" applyFont="1" applyFill="1" applyBorder="1" applyAlignment="1">
      <alignment horizontal="center" vertical="center"/>
    </xf>
    <xf numFmtId="0" fontId="108" fillId="2" borderId="0" xfId="0" applyFont="1" applyFill="1" applyBorder="1" applyAlignment="1">
      <alignment horizontal="center" vertical="center"/>
    </xf>
    <xf numFmtId="166" fontId="51" fillId="0" borderId="1" xfId="0" applyNumberFormat="1" applyFont="1" applyBorder="1" applyAlignment="1">
      <alignment horizontal="right" vertical="center" wrapText="1"/>
    </xf>
    <xf numFmtId="166" fontId="51" fillId="0" borderId="1" xfId="0" applyNumberFormat="1" applyFont="1" applyBorder="1" applyAlignment="1">
      <alignment horizontal="right"/>
    </xf>
    <xf numFmtId="1" fontId="51" fillId="0" borderId="1" xfId="1" applyNumberFormat="1" applyFont="1" applyBorder="1" applyAlignment="1">
      <alignment horizontal="right" vertical="center" wrapText="1"/>
    </xf>
    <xf numFmtId="1" fontId="51" fillId="0" borderId="1" xfId="0" applyNumberFormat="1" applyFont="1" applyBorder="1" applyAlignment="1">
      <alignment horizontal="right" vertical="center" wrapText="1"/>
    </xf>
    <xf numFmtId="1" fontId="51" fillId="3" borderId="1" xfId="20" applyNumberFormat="1" applyFont="1" applyFill="1" applyBorder="1" applyAlignment="1">
      <alignment horizontal="right"/>
    </xf>
    <xf numFmtId="0" fontId="71" fillId="0" borderId="2" xfId="1" applyFont="1" applyBorder="1" applyAlignment="1">
      <alignment horizontal="center" vertical="center" wrapText="1"/>
    </xf>
    <xf numFmtId="164" fontId="51" fillId="0" borderId="1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/>
    </xf>
    <xf numFmtId="0" fontId="130" fillId="0" borderId="3" xfId="1" applyFont="1" applyBorder="1" applyAlignment="1">
      <alignment horizontal="center" vertical="center" wrapText="1"/>
    </xf>
    <xf numFmtId="0" fontId="130" fillId="0" borderId="2" xfId="1" applyFont="1" applyBorder="1" applyAlignment="1">
      <alignment horizontal="center" vertical="center" wrapText="1"/>
    </xf>
    <xf numFmtId="0" fontId="5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70" fillId="0" borderId="3" xfId="1" applyFont="1" applyBorder="1" applyAlignment="1">
      <alignment horizontal="center" vertical="center" wrapText="1"/>
    </xf>
    <xf numFmtId="0" fontId="70" fillId="0" borderId="2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64" fillId="0" borderId="4" xfId="1" applyFont="1" applyBorder="1" applyAlignment="1">
      <alignment horizontal="right" vertical="center" wrapText="1"/>
    </xf>
    <xf numFmtId="0" fontId="64" fillId="0" borderId="9" xfId="1" applyFont="1" applyBorder="1" applyAlignment="1">
      <alignment horizontal="right" vertical="center" wrapText="1"/>
    </xf>
    <xf numFmtId="0" fontId="70" fillId="0" borderId="4" xfId="1" applyFont="1" applyBorder="1" applyAlignment="1">
      <alignment horizontal="right" vertical="center" wrapText="1"/>
    </xf>
    <xf numFmtId="0" fontId="70" fillId="0" borderId="9" xfId="1" applyFont="1" applyBorder="1" applyAlignment="1">
      <alignment horizontal="right" vertical="center" wrapText="1"/>
    </xf>
    <xf numFmtId="0" fontId="71" fillId="0" borderId="4" xfId="1" applyFont="1" applyBorder="1" applyAlignment="1">
      <alignment horizontal="right" vertical="center" wrapText="1"/>
    </xf>
    <xf numFmtId="0" fontId="71" fillId="0" borderId="9" xfId="1" applyFont="1" applyBorder="1" applyAlignment="1">
      <alignment horizontal="right" vertical="center" wrapText="1"/>
    </xf>
    <xf numFmtId="0" fontId="70" fillId="0" borderId="11" xfId="1" applyFont="1" applyBorder="1" applyAlignment="1">
      <alignment horizontal="center" vertical="center" wrapText="1"/>
    </xf>
    <xf numFmtId="0" fontId="70" fillId="0" borderId="12" xfId="1" applyFont="1" applyBorder="1" applyAlignment="1">
      <alignment horizontal="center" vertical="center" wrapText="1"/>
    </xf>
    <xf numFmtId="0" fontId="70" fillId="0" borderId="11" xfId="1" applyFont="1" applyBorder="1" applyAlignment="1">
      <alignment horizontal="right" vertical="center"/>
    </xf>
    <xf numFmtId="0" fontId="70" fillId="0" borderId="13" xfId="1" applyFont="1" applyBorder="1" applyAlignment="1">
      <alignment horizontal="right" vertical="center"/>
    </xf>
    <xf numFmtId="0" fontId="70" fillId="0" borderId="12" xfId="1" applyFont="1" applyBorder="1" applyAlignment="1">
      <alignment horizontal="right" vertical="center"/>
    </xf>
    <xf numFmtId="0" fontId="70" fillId="0" borderId="11" xfId="1" applyFont="1" applyBorder="1" applyAlignment="1">
      <alignment horizontal="center" vertical="center"/>
    </xf>
    <xf numFmtId="0" fontId="70" fillId="0" borderId="13" xfId="1" applyFont="1" applyBorder="1" applyAlignment="1">
      <alignment horizontal="center" vertical="center"/>
    </xf>
    <xf numFmtId="0" fontId="70" fillId="0" borderId="12" xfId="1" applyFont="1" applyBorder="1" applyAlignment="1">
      <alignment horizontal="center" vertical="center"/>
    </xf>
    <xf numFmtId="0" fontId="70" fillId="0" borderId="3" xfId="1" applyFont="1" applyBorder="1" applyAlignment="1">
      <alignment horizontal="center" vertical="center"/>
    </xf>
    <xf numFmtId="0" fontId="70" fillId="0" borderId="2" xfId="1" applyFont="1" applyBorder="1" applyAlignment="1">
      <alignment horizontal="center" vertical="center"/>
    </xf>
    <xf numFmtId="0" fontId="70" fillId="0" borderId="5" xfId="1" applyFont="1" applyBorder="1" applyAlignment="1">
      <alignment horizontal="center" vertical="center"/>
    </xf>
    <xf numFmtId="0" fontId="70" fillId="0" borderId="10" xfId="1" applyFont="1" applyBorder="1" applyAlignment="1">
      <alignment horizontal="center" vertical="center"/>
    </xf>
    <xf numFmtId="0" fontId="70" fillId="0" borderId="1" xfId="1" applyFont="1" applyBorder="1" applyAlignment="1">
      <alignment horizontal="center" vertical="center"/>
    </xf>
    <xf numFmtId="0" fontId="70" fillId="0" borderId="9" xfId="1" applyFont="1" applyBorder="1" applyAlignment="1">
      <alignment horizontal="center" vertical="center"/>
    </xf>
    <xf numFmtId="0" fontId="70" fillId="0" borderId="10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6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0" fillId="0" borderId="7" xfId="1" applyFont="1" applyBorder="1" applyAlignment="1">
      <alignment horizontal="right" vertical="center" wrapText="1"/>
    </xf>
    <xf numFmtId="0" fontId="71" fillId="0" borderId="4" xfId="1" applyFont="1" applyBorder="1" applyAlignment="1">
      <alignment horizontal="center" vertical="center" wrapText="1"/>
    </xf>
    <xf numFmtId="0" fontId="71" fillId="0" borderId="9" xfId="1" applyFont="1" applyBorder="1" applyAlignment="1">
      <alignment horizontal="center" vertical="center" wrapText="1"/>
    </xf>
    <xf numFmtId="0" fontId="70" fillId="0" borderId="7" xfId="1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5" fillId="0" borderId="3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55" fillId="0" borderId="3" xfId="2" applyFont="1" applyBorder="1" applyAlignment="1">
      <alignment horizontal="center" vertical="center" wrapText="1"/>
    </xf>
    <xf numFmtId="0" fontId="55" fillId="0" borderId="5" xfId="2" applyFont="1" applyBorder="1" applyAlignment="1">
      <alignment horizontal="center" vertical="center" wrapText="1"/>
    </xf>
    <xf numFmtId="0" fontId="55" fillId="0" borderId="2" xfId="2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5" fillId="0" borderId="11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29" fillId="0" borderId="4" xfId="20" applyFont="1" applyBorder="1" applyAlignment="1">
      <alignment horizontal="center" vertical="center" wrapText="1"/>
    </xf>
    <xf numFmtId="0" fontId="29" fillId="0" borderId="9" xfId="20" applyFont="1" applyBorder="1" applyAlignment="1">
      <alignment horizontal="center" vertical="center" wrapText="1"/>
    </xf>
    <xf numFmtId="0" fontId="29" fillId="0" borderId="11" xfId="20" applyFont="1" applyBorder="1" applyAlignment="1">
      <alignment horizontal="center" vertical="center" wrapText="1"/>
    </xf>
    <xf numFmtId="0" fontId="29" fillId="0" borderId="13" xfId="20" applyFont="1" applyBorder="1" applyAlignment="1">
      <alignment horizontal="center" vertical="center" wrapText="1"/>
    </xf>
    <xf numFmtId="0" fontId="29" fillId="0" borderId="12" xfId="20" applyFont="1" applyBorder="1" applyAlignment="1">
      <alignment horizontal="center" vertical="center" wrapText="1"/>
    </xf>
    <xf numFmtId="0" fontId="29" fillId="0" borderId="5" xfId="20" applyFont="1" applyBorder="1" applyAlignment="1">
      <alignment horizontal="center" vertical="center" wrapText="1"/>
    </xf>
    <xf numFmtId="0" fontId="29" fillId="0" borderId="2" xfId="20" applyFont="1" applyBorder="1" applyAlignment="1">
      <alignment horizontal="center" vertical="center" wrapText="1"/>
    </xf>
    <xf numFmtId="0" fontId="31" fillId="0" borderId="0" xfId="20" applyFont="1" applyAlignment="1">
      <alignment horizontal="center"/>
    </xf>
    <xf numFmtId="0" fontId="33" fillId="0" borderId="0" xfId="20" applyFont="1" applyAlignment="1">
      <alignment horizontal="center"/>
    </xf>
    <xf numFmtId="0" fontId="34" fillId="0" borderId="22" xfId="20" applyFont="1" applyBorder="1" applyAlignment="1">
      <alignment horizontal="center"/>
    </xf>
    <xf numFmtId="0" fontId="40" fillId="5" borderId="34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34" fillId="3" borderId="1" xfId="20" applyFont="1" applyFill="1" applyBorder="1" applyAlignment="1">
      <alignment horizontal="left" vertical="top"/>
    </xf>
    <xf numFmtId="0" fontId="36" fillId="0" borderId="9" xfId="2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9" fillId="0" borderId="21" xfId="20" applyFont="1" applyBorder="1" applyAlignment="1">
      <alignment horizontal="center" vertical="center" wrapText="1"/>
    </xf>
    <xf numFmtId="0" fontId="29" fillId="0" borderId="8" xfId="20" applyFont="1" applyBorder="1" applyAlignment="1">
      <alignment horizontal="center" vertical="center" wrapText="1"/>
    </xf>
    <xf numFmtId="0" fontId="29" fillId="0" borderId="15" xfId="20" applyFont="1" applyBorder="1" applyAlignment="1">
      <alignment horizontal="center" vertical="center" wrapText="1"/>
    </xf>
    <xf numFmtId="0" fontId="29" fillId="0" borderId="1" xfId="20" applyFont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3" fillId="0" borderId="4" xfId="20" applyFont="1" applyBorder="1" applyAlignment="1">
      <alignment horizontal="center" vertical="center" wrapText="1"/>
    </xf>
    <xf numFmtId="0" fontId="33" fillId="0" borderId="9" xfId="20" applyFont="1" applyBorder="1" applyAlignment="1">
      <alignment horizontal="center" vertical="center" wrapText="1"/>
    </xf>
    <xf numFmtId="0" fontId="29" fillId="0" borderId="3" xfId="20" applyFont="1" applyBorder="1" applyAlignment="1">
      <alignment horizontal="center" vertical="center" wrapText="1"/>
    </xf>
    <xf numFmtId="0" fontId="6" fillId="3" borderId="0" xfId="20" applyFont="1" applyFill="1" applyBorder="1" applyAlignment="1">
      <alignment horizontal="center"/>
    </xf>
    <xf numFmtId="14" fontId="6" fillId="0" borderId="0" xfId="2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5" fillId="0" borderId="0" xfId="20" applyFont="1" applyBorder="1" applyAlignment="1">
      <alignment horizontal="center"/>
    </xf>
    <xf numFmtId="14" fontId="45" fillId="0" borderId="0" xfId="20" applyNumberFormat="1" applyFont="1" applyFill="1" applyBorder="1" applyAlignment="1">
      <alignment horizontal="center"/>
    </xf>
    <xf numFmtId="14" fontId="45" fillId="0" borderId="0" xfId="20" applyNumberFormat="1" applyFont="1" applyBorder="1" applyAlignment="1">
      <alignment horizontal="center" wrapText="1"/>
    </xf>
    <xf numFmtId="0" fontId="40" fillId="3" borderId="0" xfId="20" applyFont="1" applyFill="1" applyBorder="1" applyAlignment="1">
      <alignment horizontal="center"/>
    </xf>
    <xf numFmtId="0" fontId="40" fillId="0" borderId="0" xfId="20" applyFont="1" applyBorder="1" applyAlignment="1">
      <alignment horizontal="center" vertical="center" wrapText="1"/>
    </xf>
    <xf numFmtId="0" fontId="45" fillId="0" borderId="10" xfId="20" applyFont="1" applyBorder="1" applyAlignment="1">
      <alignment horizontal="center" vertical="center" wrapText="1"/>
    </xf>
    <xf numFmtId="0" fontId="45" fillId="0" borderId="1" xfId="20" applyFont="1" applyBorder="1" applyAlignment="1">
      <alignment horizontal="center" vertical="center" wrapText="1"/>
    </xf>
    <xf numFmtId="0" fontId="45" fillId="0" borderId="9" xfId="20" applyFont="1" applyBorder="1" applyAlignment="1">
      <alignment horizontal="center" vertical="center" wrapText="1"/>
    </xf>
    <xf numFmtId="0" fontId="45" fillId="0" borderId="7" xfId="20" applyFont="1" applyBorder="1" applyAlignment="1">
      <alignment horizontal="center" vertical="center" wrapText="1"/>
    </xf>
    <xf numFmtId="0" fontId="24" fillId="0" borderId="0" xfId="20" applyFont="1" applyBorder="1" applyAlignment="1">
      <alignment horizontal="center" vertical="center"/>
    </xf>
    <xf numFmtId="0" fontId="24" fillId="0" borderId="35" xfId="20" applyFont="1" applyBorder="1" applyAlignment="1">
      <alignment horizontal="center" vertical="center"/>
    </xf>
    <xf numFmtId="0" fontId="45" fillId="0" borderId="4" xfId="20" applyFont="1" applyBorder="1" applyAlignment="1">
      <alignment horizontal="center" vertical="center" wrapText="1"/>
    </xf>
    <xf numFmtId="0" fontId="25" fillId="3" borderId="1" xfId="20" applyFont="1" applyFill="1" applyBorder="1" applyAlignment="1">
      <alignment horizontal="left" vertical="top"/>
    </xf>
    <xf numFmtId="0" fontId="66" fillId="0" borderId="9" xfId="2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85" fillId="0" borderId="0" xfId="20" applyFont="1" applyAlignment="1">
      <alignment horizontal="center"/>
    </xf>
    <xf numFmtId="0" fontId="6" fillId="0" borderId="0" xfId="20" applyFont="1" applyAlignment="1">
      <alignment horizontal="center"/>
    </xf>
    <xf numFmtId="0" fontId="25" fillId="0" borderId="0" xfId="20" applyFont="1" applyBorder="1" applyAlignment="1">
      <alignment horizontal="center"/>
    </xf>
    <xf numFmtId="0" fontId="6" fillId="0" borderId="4" xfId="20" applyFont="1" applyBorder="1" applyAlignment="1">
      <alignment horizontal="center" vertical="center" wrapText="1"/>
    </xf>
    <xf numFmtId="0" fontId="6" fillId="0" borderId="9" xfId="2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vertical="center"/>
    </xf>
    <xf numFmtId="0" fontId="18" fillId="0" borderId="7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45" fillId="0" borderId="0" xfId="1" applyFont="1" applyAlignment="1">
      <alignment horizontal="center"/>
    </xf>
    <xf numFmtId="0" fontId="22" fillId="0" borderId="10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45" fillId="0" borderId="5" xfId="20" applyFont="1" applyBorder="1" applyAlignment="1">
      <alignment horizontal="center" vertical="center" wrapText="1"/>
    </xf>
    <xf numFmtId="0" fontId="45" fillId="0" borderId="2" xfId="20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/>
    </xf>
    <xf numFmtId="0" fontId="32" fillId="0" borderId="0" xfId="20" applyFont="1" applyAlignment="1">
      <alignment horizontal="center"/>
    </xf>
    <xf numFmtId="0" fontId="45" fillId="0" borderId="3" xfId="20" applyFont="1" applyBorder="1" applyAlignment="1">
      <alignment horizontal="center" vertical="center" wrapText="1"/>
    </xf>
    <xf numFmtId="0" fontId="34" fillId="0" borderId="0" xfId="20" applyFont="1" applyAlignment="1">
      <alignment horizontal="center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0" borderId="11" xfId="20" applyFont="1" applyBorder="1" applyAlignment="1">
      <alignment horizontal="center" vertical="center" wrapText="1"/>
    </xf>
    <xf numFmtId="0" fontId="45" fillId="0" borderId="13" xfId="20" applyFont="1" applyBorder="1" applyAlignment="1">
      <alignment horizontal="center" vertical="center" wrapText="1"/>
    </xf>
    <xf numFmtId="0" fontId="45" fillId="0" borderId="12" xfId="20" applyFont="1" applyBorder="1" applyAlignment="1">
      <alignment horizontal="center" vertical="center" wrapText="1"/>
    </xf>
    <xf numFmtId="0" fontId="45" fillId="0" borderId="21" xfId="20" applyFont="1" applyBorder="1" applyAlignment="1">
      <alignment horizontal="center" vertical="center" wrapText="1"/>
    </xf>
    <xf numFmtId="0" fontId="45" fillId="0" borderId="8" xfId="20" applyFont="1" applyBorder="1" applyAlignment="1">
      <alignment horizontal="center" vertical="center" wrapText="1"/>
    </xf>
    <xf numFmtId="0" fontId="45" fillId="0" borderId="15" xfId="20" applyFont="1" applyBorder="1" applyAlignment="1">
      <alignment horizontal="center" vertical="center" wrapText="1"/>
    </xf>
    <xf numFmtId="0" fontId="6" fillId="0" borderId="24" xfId="20" applyFont="1" applyBorder="1" applyAlignment="1">
      <alignment horizontal="center"/>
    </xf>
    <xf numFmtId="0" fontId="6" fillId="0" borderId="25" xfId="2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8" fillId="0" borderId="0" xfId="1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0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49" fillId="0" borderId="26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left" wrapText="1"/>
    </xf>
    <xf numFmtId="0" fontId="49" fillId="0" borderId="31" xfId="0" applyFont="1" applyBorder="1" applyAlignment="1">
      <alignment horizontal="left" wrapText="1"/>
    </xf>
    <xf numFmtId="0" fontId="49" fillId="0" borderId="27" xfId="0" applyFont="1" applyBorder="1" applyAlignment="1">
      <alignment horizontal="left" wrapText="1"/>
    </xf>
    <xf numFmtId="0" fontId="49" fillId="0" borderId="19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left" wrapText="1"/>
    </xf>
    <xf numFmtId="0" fontId="49" fillId="0" borderId="23" xfId="0" applyFont="1" applyBorder="1" applyAlignment="1">
      <alignment horizontal="left" wrapText="1"/>
    </xf>
    <xf numFmtId="0" fontId="49" fillId="0" borderId="18" xfId="0" applyFont="1" applyBorder="1" applyAlignment="1">
      <alignment horizontal="left" wrapText="1"/>
    </xf>
    <xf numFmtId="0" fontId="8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top" wrapText="1"/>
    </xf>
    <xf numFmtId="0" fontId="26" fillId="0" borderId="1" xfId="0" applyNumberFormat="1" applyFont="1" applyBorder="1" applyAlignment="1">
      <alignment horizontal="center" vertical="top" wrapText="1"/>
    </xf>
    <xf numFmtId="0" fontId="45" fillId="0" borderId="3" xfId="0" applyNumberFormat="1" applyFont="1" applyBorder="1" applyAlignment="1">
      <alignment vertical="top" wrapText="1"/>
    </xf>
    <xf numFmtId="0" fontId="45" fillId="0" borderId="2" xfId="0" applyNumberFormat="1" applyFont="1" applyBorder="1" applyAlignment="1">
      <alignment vertical="top" wrapText="1"/>
    </xf>
    <xf numFmtId="0" fontId="29" fillId="0" borderId="3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10" xfId="0" applyNumberFormat="1" applyFont="1" applyBorder="1" applyAlignment="1">
      <alignment horizontal="center" vertical="top" wrapText="1"/>
    </xf>
    <xf numFmtId="0" fontId="29" fillId="0" borderId="9" xfId="0" applyNumberFormat="1" applyFont="1" applyBorder="1" applyAlignment="1">
      <alignment horizontal="center" vertical="top" wrapText="1"/>
    </xf>
    <xf numFmtId="0" fontId="29" fillId="0" borderId="10" xfId="0" applyNumberFormat="1" applyFont="1" applyBorder="1" applyAlignment="1">
      <alignment horizontal="left" vertical="top" wrapText="1"/>
    </xf>
    <xf numFmtId="0" fontId="29" fillId="0" borderId="9" xfId="0" applyNumberFormat="1" applyFont="1" applyBorder="1" applyAlignment="1">
      <alignment horizontal="left" vertical="top" wrapText="1"/>
    </xf>
    <xf numFmtId="0" fontId="61" fillId="0" borderId="0" xfId="0" applyFont="1" applyBorder="1" applyAlignment="1">
      <alignment horizontal="center"/>
    </xf>
    <xf numFmtId="174" fontId="58" fillId="0" borderId="0" xfId="0" applyNumberFormat="1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9" fillId="0" borderId="7" xfId="0" applyNumberFormat="1" applyFont="1" applyBorder="1" applyAlignment="1">
      <alignment horizontal="center" vertical="top" wrapText="1"/>
    </xf>
    <xf numFmtId="0" fontId="29" fillId="0" borderId="16" xfId="0" applyNumberFormat="1" applyFont="1" applyBorder="1" applyAlignment="1">
      <alignment horizontal="left" vertical="top" wrapText="1"/>
    </xf>
    <xf numFmtId="0" fontId="29" fillId="0" borderId="24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45" fillId="0" borderId="10" xfId="0" applyNumberFormat="1" applyFont="1" applyBorder="1" applyAlignment="1">
      <alignment horizontal="center" vertical="top" wrapText="1"/>
    </xf>
    <xf numFmtId="0" fontId="45" fillId="0" borderId="9" xfId="0" applyNumberFormat="1" applyFont="1" applyBorder="1" applyAlignment="1">
      <alignment horizontal="center" vertical="top" wrapText="1"/>
    </xf>
    <xf numFmtId="0" fontId="45" fillId="0" borderId="9" xfId="0" applyFont="1" applyBorder="1" applyAlignment="1">
      <alignment horizontal="center" vertical="top"/>
    </xf>
    <xf numFmtId="0" fontId="68" fillId="0" borderId="0" xfId="1" applyFont="1" applyAlignment="1">
      <alignment horizontal="center"/>
    </xf>
    <xf numFmtId="0" fontId="70" fillId="0" borderId="19" xfId="1" applyFont="1" applyBorder="1" applyAlignment="1">
      <alignment horizontal="center" vertical="center"/>
    </xf>
    <xf numFmtId="0" fontId="70" fillId="0" borderId="20" xfId="1" applyFont="1" applyBorder="1" applyAlignment="1">
      <alignment horizontal="center" vertical="center"/>
    </xf>
    <xf numFmtId="0" fontId="70" fillId="0" borderId="6" xfId="1" applyFont="1" applyBorder="1" applyAlignment="1">
      <alignment horizontal="center" vertical="center"/>
    </xf>
    <xf numFmtId="0" fontId="70" fillId="0" borderId="30" xfId="1" applyFont="1" applyBorder="1" applyAlignment="1">
      <alignment horizontal="center" vertical="center"/>
    </xf>
    <xf numFmtId="0" fontId="70" fillId="0" borderId="7" xfId="1" applyFont="1" applyBorder="1" applyAlignment="1">
      <alignment horizontal="center" vertical="center"/>
    </xf>
    <xf numFmtId="0" fontId="70" fillId="0" borderId="5" xfId="1" applyFont="1" applyBorder="1" applyAlignment="1">
      <alignment horizontal="center" vertical="center" wrapText="1"/>
    </xf>
    <xf numFmtId="0" fontId="70" fillId="0" borderId="4" xfId="1" applyFont="1" applyBorder="1" applyAlignment="1">
      <alignment horizontal="center" vertical="center" wrapText="1"/>
    </xf>
    <xf numFmtId="0" fontId="70" fillId="0" borderId="1" xfId="1" applyFont="1" applyBorder="1" applyAlignment="1">
      <alignment horizontal="center" vertical="center" wrapText="1"/>
    </xf>
    <xf numFmtId="0" fontId="70" fillId="0" borderId="9" xfId="1" applyFont="1" applyBorder="1" applyAlignment="1">
      <alignment horizontal="center" vertical="center" wrapText="1"/>
    </xf>
    <xf numFmtId="1" fontId="70" fillId="0" borderId="5" xfId="1" applyNumberFormat="1" applyFont="1" applyBorder="1" applyAlignment="1">
      <alignment horizontal="center" vertical="center"/>
    </xf>
    <xf numFmtId="1" fontId="70" fillId="0" borderId="2" xfId="1" applyNumberFormat="1" applyFont="1" applyBorder="1" applyAlignment="1">
      <alignment horizontal="center" vertical="center"/>
    </xf>
    <xf numFmtId="0" fontId="64" fillId="0" borderId="4" xfId="1" applyFont="1" applyBorder="1" applyAlignment="1">
      <alignment horizontal="center" vertical="center" wrapText="1"/>
    </xf>
    <xf numFmtId="0" fontId="64" fillId="0" borderId="9" xfId="1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88" fillId="0" borderId="5" xfId="1" applyFont="1" applyBorder="1" applyAlignment="1">
      <alignment horizontal="center" vertical="center"/>
    </xf>
    <xf numFmtId="0" fontId="89" fillId="0" borderId="0" xfId="1" applyFont="1" applyAlignment="1">
      <alignment horizontal="left"/>
    </xf>
    <xf numFmtId="0" fontId="89" fillId="0" borderId="0" xfId="1" applyFont="1" applyAlignment="1">
      <alignment horizontal="center"/>
    </xf>
    <xf numFmtId="0" fontId="105" fillId="0" borderId="0" xfId="1" applyFont="1" applyAlignment="1">
      <alignment horizontal="center"/>
    </xf>
    <xf numFmtId="0" fontId="103" fillId="0" borderId="0" xfId="1" applyFont="1" applyAlignment="1">
      <alignment horizontal="center"/>
    </xf>
    <xf numFmtId="0" fontId="104" fillId="0" borderId="0" xfId="1" applyFont="1" applyAlignment="1">
      <alignment horizontal="center"/>
    </xf>
    <xf numFmtId="0" fontId="108" fillId="0" borderId="0" xfId="0" applyFont="1" applyBorder="1" applyAlignment="1">
      <alignment horizontal="center"/>
    </xf>
    <xf numFmtId="0" fontId="117" fillId="0" borderId="0" xfId="0" applyFont="1" applyAlignment="1">
      <alignment horizontal="center"/>
    </xf>
    <xf numFmtId="0" fontId="113" fillId="0" borderId="10" xfId="2" applyFont="1" applyBorder="1" applyAlignment="1">
      <alignment horizontal="center" vertical="center"/>
    </xf>
    <xf numFmtId="0" fontId="113" fillId="0" borderId="1" xfId="2" applyFont="1" applyBorder="1" applyAlignment="1">
      <alignment horizontal="center" vertical="center"/>
    </xf>
    <xf numFmtId="0" fontId="107" fillId="0" borderId="0" xfId="0" applyFont="1" applyBorder="1" applyAlignment="1">
      <alignment horizontal="center" vertical="center"/>
    </xf>
    <xf numFmtId="0" fontId="108" fillId="0" borderId="0" xfId="0" applyFont="1" applyAlignment="1">
      <alignment horizontal="center"/>
    </xf>
    <xf numFmtId="0" fontId="107" fillId="0" borderId="0" xfId="0" applyFont="1" applyAlignment="1">
      <alignment horizontal="center"/>
    </xf>
    <xf numFmtId="0" fontId="123" fillId="0" borderId="0" xfId="0" applyFont="1" applyAlignment="1">
      <alignment horizontal="center"/>
    </xf>
    <xf numFmtId="0" fontId="113" fillId="0" borderId="9" xfId="2" applyFont="1" applyBorder="1" applyAlignment="1">
      <alignment horizontal="center" vertical="center"/>
    </xf>
    <xf numFmtId="0" fontId="113" fillId="0" borderId="10" xfId="2" applyFont="1" applyBorder="1" applyAlignment="1">
      <alignment horizontal="center" vertical="center" wrapText="1"/>
    </xf>
    <xf numFmtId="0" fontId="113" fillId="0" borderId="1" xfId="2" applyFont="1" applyBorder="1" applyAlignment="1">
      <alignment horizontal="center" vertical="center" wrapText="1"/>
    </xf>
    <xf numFmtId="0" fontId="113" fillId="0" borderId="9" xfId="2" applyFont="1" applyBorder="1" applyAlignment="1">
      <alignment horizontal="center" vertical="center" wrapText="1"/>
    </xf>
    <xf numFmtId="2" fontId="113" fillId="0" borderId="10" xfId="2" applyNumberFormat="1" applyFont="1" applyBorder="1" applyAlignment="1">
      <alignment horizontal="center" vertical="center" wrapText="1"/>
    </xf>
    <xf numFmtId="2" fontId="113" fillId="0" borderId="1" xfId="2" applyNumberFormat="1" applyFont="1" applyBorder="1" applyAlignment="1">
      <alignment horizontal="center" vertical="center" wrapText="1"/>
    </xf>
    <xf numFmtId="2" fontId="113" fillId="0" borderId="9" xfId="2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70" fontId="113" fillId="0" borderId="10" xfId="15" applyNumberFormat="1" applyFont="1" applyBorder="1" applyAlignment="1">
      <alignment horizontal="center" vertical="center" wrapText="1"/>
    </xf>
    <xf numFmtId="170" fontId="113" fillId="0" borderId="1" xfId="15" applyNumberFormat="1" applyFont="1" applyBorder="1" applyAlignment="1">
      <alignment horizontal="center" vertical="center" wrapText="1"/>
    </xf>
    <xf numFmtId="170" fontId="113" fillId="0" borderId="9" xfId="15" applyNumberFormat="1" applyFont="1" applyBorder="1" applyAlignment="1">
      <alignment horizontal="center" vertical="center" wrapText="1"/>
    </xf>
    <xf numFmtId="0" fontId="113" fillId="0" borderId="7" xfId="2" applyFont="1" applyBorder="1" applyAlignment="1">
      <alignment horizontal="center" vertical="center"/>
    </xf>
    <xf numFmtId="0" fontId="113" fillId="0" borderId="4" xfId="2" applyFont="1" applyBorder="1" applyAlignment="1">
      <alignment horizontal="center" vertical="center" wrapText="1"/>
    </xf>
    <xf numFmtId="2" fontId="113" fillId="2" borderId="10" xfId="2" applyNumberFormat="1" applyFont="1" applyFill="1" applyBorder="1" applyAlignment="1">
      <alignment horizontal="center" vertical="center" wrapText="1"/>
    </xf>
    <xf numFmtId="2" fontId="113" fillId="2" borderId="9" xfId="2" applyNumberFormat="1" applyFont="1" applyFill="1" applyBorder="1" applyAlignment="1">
      <alignment horizontal="center" vertical="center" wrapText="1"/>
    </xf>
    <xf numFmtId="0" fontId="110" fillId="0" borderId="4" xfId="2" applyFont="1" applyBorder="1" applyAlignment="1">
      <alignment horizontal="left" vertical="center"/>
    </xf>
    <xf numFmtId="0" fontId="55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112" fillId="0" borderId="1" xfId="2" applyFont="1" applyBorder="1" applyAlignment="1">
      <alignment horizontal="left" vertical="center"/>
    </xf>
    <xf numFmtId="0" fontId="113" fillId="0" borderId="1" xfId="2" applyFont="1" applyBorder="1" applyAlignment="1">
      <alignment horizontal="left" vertical="center"/>
    </xf>
    <xf numFmtId="0" fontId="115" fillId="0" borderId="0" xfId="0" applyFont="1" applyBorder="1" applyAlignment="1">
      <alignment horizontal="center"/>
    </xf>
    <xf numFmtId="0" fontId="107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3" borderId="17" xfId="0" applyFont="1" applyFill="1" applyBorder="1" applyAlignment="1">
      <alignment horizontal="left" vertical="center"/>
    </xf>
    <xf numFmtId="0" fontId="22" fillId="3" borderId="23" xfId="0" applyFont="1" applyFill="1" applyBorder="1" applyAlignment="1">
      <alignment horizontal="left" vertical="center"/>
    </xf>
    <xf numFmtId="0" fontId="22" fillId="0" borderId="17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124" fillId="0" borderId="0" xfId="0" applyFont="1" applyBorder="1" applyAlignment="1">
      <alignment horizontal="center"/>
    </xf>
    <xf numFmtId="0" fontId="112" fillId="0" borderId="0" xfId="0" applyFont="1" applyBorder="1" applyAlignment="1">
      <alignment horizontal="right"/>
    </xf>
    <xf numFmtId="0" fontId="113" fillId="0" borderId="10" xfId="0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0" fontId="113" fillId="0" borderId="9" xfId="0" applyFont="1" applyBorder="1" applyAlignment="1">
      <alignment horizontal="center" vertical="center" wrapText="1"/>
    </xf>
    <xf numFmtId="0" fontId="114" fillId="0" borderId="10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0" fontId="114" fillId="0" borderId="9" xfId="0" applyFont="1" applyBorder="1" applyAlignment="1">
      <alignment horizontal="center" vertical="center" wrapText="1"/>
    </xf>
    <xf numFmtId="0" fontId="113" fillId="0" borderId="7" xfId="0" applyFont="1" applyBorder="1" applyAlignment="1">
      <alignment horizontal="center" vertical="center" wrapText="1"/>
    </xf>
    <xf numFmtId="177" fontId="113" fillId="0" borderId="10" xfId="0" applyNumberFormat="1" applyFont="1" applyBorder="1" applyAlignment="1">
      <alignment horizontal="center" vertical="center" wrapText="1"/>
    </xf>
    <xf numFmtId="177" fontId="113" fillId="0" borderId="1" xfId="0" applyNumberFormat="1" applyFont="1" applyBorder="1" applyAlignment="1">
      <alignment horizontal="center" vertical="center" wrapText="1"/>
    </xf>
    <xf numFmtId="177" fontId="113" fillId="0" borderId="9" xfId="0" applyNumberFormat="1" applyFont="1" applyBorder="1" applyAlignment="1">
      <alignment horizontal="center" vertical="center" wrapText="1"/>
    </xf>
    <xf numFmtId="0" fontId="113" fillId="0" borderId="4" xfId="0" applyFont="1" applyBorder="1" applyAlignment="1">
      <alignment horizontal="center" vertical="center" wrapText="1"/>
    </xf>
    <xf numFmtId="0" fontId="114" fillId="0" borderId="4" xfId="0" applyFont="1" applyBorder="1" applyAlignment="1">
      <alignment horizontal="center" vertical="center" wrapText="1"/>
    </xf>
    <xf numFmtId="0" fontId="114" fillId="2" borderId="4" xfId="0" applyFont="1" applyFill="1" applyBorder="1" applyAlignment="1">
      <alignment horizontal="center" vertical="center" wrapText="1"/>
    </xf>
    <xf numFmtId="0" fontId="114" fillId="2" borderId="9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center" vertical="center"/>
    </xf>
    <xf numFmtId="0" fontId="114" fillId="2" borderId="1" xfId="0" applyFont="1" applyFill="1" applyBorder="1" applyAlignment="1">
      <alignment horizontal="center" vertical="center" wrapText="1"/>
    </xf>
    <xf numFmtId="0" fontId="72" fillId="0" borderId="2" xfId="1" applyFont="1" applyBorder="1" applyAlignment="1">
      <alignment horizontal="center" vertical="center"/>
    </xf>
    <xf numFmtId="0" fontId="64" fillId="0" borderId="9" xfId="2" applyFont="1" applyBorder="1" applyAlignment="1">
      <alignment horizontal="center" vertical="center"/>
    </xf>
    <xf numFmtId="14" fontId="72" fillId="0" borderId="2" xfId="1" applyNumberFormat="1" applyFont="1" applyBorder="1" applyAlignment="1">
      <alignment horizontal="center" vertical="center" wrapText="1"/>
    </xf>
    <xf numFmtId="3" fontId="72" fillId="0" borderId="2" xfId="1" applyNumberFormat="1" applyFont="1" applyBorder="1" applyAlignment="1">
      <alignment horizontal="center" vertical="center"/>
    </xf>
    <xf numFmtId="2" fontId="72" fillId="0" borderId="2" xfId="1" applyNumberFormat="1" applyFont="1" applyBorder="1" applyAlignment="1">
      <alignment horizontal="center" vertical="center"/>
    </xf>
    <xf numFmtId="1" fontId="72" fillId="0" borderId="2" xfId="1" applyNumberFormat="1" applyFont="1" applyBorder="1" applyAlignment="1">
      <alignment horizontal="center" vertical="center"/>
    </xf>
    <xf numFmtId="2" fontId="69" fillId="0" borderId="2" xfId="1" applyNumberFormat="1" applyFont="1" applyBorder="1" applyAlignment="1">
      <alignment horizontal="right" vertical="center"/>
    </xf>
    <xf numFmtId="2" fontId="72" fillId="0" borderId="2" xfId="1" applyNumberFormat="1" applyFont="1" applyBorder="1" applyAlignment="1">
      <alignment horizontal="right" vertical="center"/>
    </xf>
    <xf numFmtId="0" fontId="69" fillId="0" borderId="2" xfId="0" applyFont="1" applyBorder="1"/>
    <xf numFmtId="164" fontId="69" fillId="0" borderId="2" xfId="2" applyNumberFormat="1" applyFont="1" applyBorder="1" applyAlignment="1">
      <alignment horizontal="right" vertical="center"/>
    </xf>
    <xf numFmtId="164" fontId="72" fillId="0" borderId="2" xfId="1" applyNumberFormat="1" applyFont="1" applyBorder="1" applyAlignment="1">
      <alignment horizontal="center" vertical="center"/>
    </xf>
    <xf numFmtId="3" fontId="70" fillId="0" borderId="2" xfId="1" applyNumberFormat="1" applyFont="1" applyBorder="1" applyAlignment="1">
      <alignment horizontal="left" vertical="top"/>
    </xf>
    <xf numFmtId="0" fontId="71" fillId="0" borderId="9" xfId="2" applyFont="1" applyBorder="1" applyAlignment="1">
      <alignment horizontal="left" vertical="center"/>
    </xf>
    <xf numFmtId="14" fontId="71" fillId="0" borderId="9" xfId="2" applyNumberFormat="1" applyFont="1" applyBorder="1" applyAlignment="1">
      <alignment horizontal="center" vertical="center"/>
    </xf>
    <xf numFmtId="0" fontId="64" fillId="0" borderId="9" xfId="2" applyFont="1" applyBorder="1" applyAlignment="1">
      <alignment horizontal="center" vertical="center" readingOrder="1"/>
    </xf>
    <xf numFmtId="2" fontId="64" fillId="0" borderId="9" xfId="2" applyNumberFormat="1" applyFont="1" applyBorder="1" applyAlignment="1">
      <alignment horizontal="center" vertical="center"/>
    </xf>
    <xf numFmtId="1" fontId="64" fillId="0" borderId="9" xfId="2" applyNumberFormat="1" applyFont="1" applyBorder="1" applyAlignment="1">
      <alignment horizontal="center" vertical="center"/>
    </xf>
    <xf numFmtId="164" fontId="64" fillId="3" borderId="9" xfId="2" applyNumberFormat="1" applyFont="1" applyFill="1" applyBorder="1" applyAlignment="1">
      <alignment horizontal="center" vertical="center"/>
    </xf>
    <xf numFmtId="0" fontId="64" fillId="0" borderId="9" xfId="2" applyFont="1" applyBorder="1" applyAlignment="1">
      <alignment horizontal="right" vertical="center"/>
    </xf>
    <xf numFmtId="0" fontId="64" fillId="0" borderId="9" xfId="0" applyFont="1" applyBorder="1"/>
    <xf numFmtId="164" fontId="64" fillId="0" borderId="9" xfId="2" applyNumberFormat="1" applyFont="1" applyBorder="1" applyAlignment="1">
      <alignment horizontal="right" vertical="center"/>
    </xf>
    <xf numFmtId="166" fontId="64" fillId="0" borderId="9" xfId="2" applyNumberFormat="1" applyFont="1" applyBorder="1" applyAlignment="1">
      <alignment horizontal="right" vertical="center"/>
    </xf>
    <xf numFmtId="164" fontId="64" fillId="0" borderId="9" xfId="2" applyNumberFormat="1" applyFont="1" applyBorder="1" applyAlignment="1">
      <alignment horizontal="center" vertical="center"/>
    </xf>
    <xf numFmtId="164" fontId="64" fillId="0" borderId="9" xfId="2" applyNumberFormat="1" applyFont="1" applyBorder="1" applyAlignment="1">
      <alignment horizontal="left" vertical="center"/>
    </xf>
    <xf numFmtId="0" fontId="1" fillId="0" borderId="1" xfId="0" applyFont="1" applyBorder="1"/>
  </cellXfs>
  <cellStyles count="23">
    <cellStyle name="Comma" xfId="22" builtinId="3"/>
    <cellStyle name="Comma 2" xfId="15"/>
    <cellStyle name="Comma 3" xfId="21"/>
    <cellStyle name="Comma 4" xfId="10"/>
    <cellStyle name="Comma 5" xfId="11"/>
    <cellStyle name="Comma 5 2" xfId="13"/>
    <cellStyle name="Normal" xfId="0" builtinId="0"/>
    <cellStyle name="Normal 10" xfId="16"/>
    <cellStyle name="Normal 11" xfId="17"/>
    <cellStyle name="Normal 12" xfId="19"/>
    <cellStyle name="Normal 12 2" xfId="20"/>
    <cellStyle name="Normal 13" xfId="4"/>
    <cellStyle name="Normal 14" xfId="1"/>
    <cellStyle name="Normal 2" xfId="12"/>
    <cellStyle name="Normal 2 2" xfId="14"/>
    <cellStyle name="Normal 3" xfId="2"/>
    <cellStyle name="Normal 3 2" xfId="18"/>
    <cellStyle name="Normal 4" xfId="6"/>
    <cellStyle name="Normal 5" xfId="3"/>
    <cellStyle name="Normal 6" xfId="5"/>
    <cellStyle name="Normal 7" xfId="9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2</xdr:row>
      <xdr:rowOff>19050</xdr:rowOff>
    </xdr:from>
    <xdr:to>
      <xdr:col>2</xdr:col>
      <xdr:colOff>609600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1019175" y="495300"/>
          <a:ext cx="11715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</xdr:row>
      <xdr:rowOff>9525</xdr:rowOff>
    </xdr:from>
    <xdr:to>
      <xdr:col>19</xdr:col>
      <xdr:colOff>619125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7239000" y="485775"/>
          <a:ext cx="2152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209550</xdr:rowOff>
    </xdr:from>
    <xdr:to>
      <xdr:col>1</xdr:col>
      <xdr:colOff>1123950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809625" y="4857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</xdr:row>
      <xdr:rowOff>19050</xdr:rowOff>
    </xdr:from>
    <xdr:to>
      <xdr:col>17</xdr:col>
      <xdr:colOff>104775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7086600" y="514350"/>
          <a:ext cx="2076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</xdr:row>
      <xdr:rowOff>209550</xdr:rowOff>
    </xdr:from>
    <xdr:to>
      <xdr:col>2</xdr:col>
      <xdr:colOff>257175</xdr:colOff>
      <xdr:row>1</xdr:row>
      <xdr:rowOff>209550</xdr:rowOff>
    </xdr:to>
    <xdr:cxnSp macro="">
      <xdr:nvCxnSpPr>
        <xdr:cNvPr id="2" name="Straight Connector 1"/>
        <xdr:cNvCxnSpPr/>
      </xdr:nvCxnSpPr>
      <xdr:spPr>
        <a:xfrm>
          <a:off x="1123950" y="485775"/>
          <a:ext cx="581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390525</xdr:colOff>
      <xdr:row>2</xdr:row>
      <xdr:rowOff>19050</xdr:rowOff>
    </xdr:from>
    <xdr:to>
      <xdr:col>16</xdr:col>
      <xdr:colOff>76200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343775" y="514350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</xdr:row>
      <xdr:rowOff>209550</xdr:rowOff>
    </xdr:from>
    <xdr:to>
      <xdr:col>2</xdr:col>
      <xdr:colOff>190500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1057275" y="485775"/>
          <a:ext cx="581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409575</xdr:colOff>
      <xdr:row>2</xdr:row>
      <xdr:rowOff>28575</xdr:rowOff>
    </xdr:from>
    <xdr:to>
      <xdr:col>16</xdr:col>
      <xdr:colOff>95250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7400925" y="52387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</xdr:row>
      <xdr:rowOff>19050</xdr:rowOff>
    </xdr:from>
    <xdr:to>
      <xdr:col>20</xdr:col>
      <xdr:colOff>657225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267575" y="514350"/>
          <a:ext cx="2105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1</xdr:row>
      <xdr:rowOff>209550</xdr:rowOff>
    </xdr:from>
    <xdr:to>
      <xdr:col>3</xdr:col>
      <xdr:colOff>447675</xdr:colOff>
      <xdr:row>1</xdr:row>
      <xdr:rowOff>209550</xdr:rowOff>
    </xdr:to>
    <xdr:cxnSp macro="">
      <xdr:nvCxnSpPr>
        <xdr:cNvPr id="5" name="Straight Connector 4"/>
        <xdr:cNvCxnSpPr/>
      </xdr:nvCxnSpPr>
      <xdr:spPr>
        <a:xfrm>
          <a:off x="962025" y="48577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5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1527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5</xdr:row>
      <xdr:rowOff>9525</xdr:rowOff>
    </xdr:from>
    <xdr:to>
      <xdr:col>12</xdr:col>
      <xdr:colOff>514350</xdr:colOff>
      <xdr:row>5</xdr:row>
      <xdr:rowOff>9525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667125" y="133350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8" name="Straight Connector 7"/>
        <xdr:cNvCxnSpPr/>
      </xdr:nvCxnSpPr>
      <xdr:spPr>
        <a:xfrm>
          <a:off x="128587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2</xdr:row>
      <xdr:rowOff>19050</xdr:rowOff>
    </xdr:from>
    <xdr:to>
      <xdr:col>2</xdr:col>
      <xdr:colOff>609600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33450" y="495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285750</xdr:colOff>
      <xdr:row>2</xdr:row>
      <xdr:rowOff>9525</xdr:rowOff>
    </xdr:from>
    <xdr:to>
      <xdr:col>22</xdr:col>
      <xdr:colOff>66675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7219950" y="485775"/>
          <a:ext cx="2171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0</xdr:rowOff>
    </xdr:from>
    <xdr:to>
      <xdr:col>1</xdr:col>
      <xdr:colOff>895350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19125" y="438150"/>
          <a:ext cx="647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2</xdr:row>
      <xdr:rowOff>0</xdr:rowOff>
    </xdr:from>
    <xdr:to>
      <xdr:col>11</xdr:col>
      <xdr:colOff>333375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9437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9525</xdr:rowOff>
    </xdr:from>
    <xdr:to>
      <xdr:col>1</xdr:col>
      <xdr:colOff>1152525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19125" y="46672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</xdr:row>
      <xdr:rowOff>19050</xdr:rowOff>
    </xdr:from>
    <xdr:to>
      <xdr:col>15</xdr:col>
      <xdr:colOff>428625</xdr:colOff>
      <xdr:row>2</xdr:row>
      <xdr:rowOff>19050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343650" y="476250"/>
          <a:ext cx="2066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19050</xdr:rowOff>
    </xdr:from>
    <xdr:to>
      <xdr:col>3</xdr:col>
      <xdr:colOff>133350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428625" y="466725"/>
          <a:ext cx="13144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381000</xdr:colOff>
      <xdr:row>2</xdr:row>
      <xdr:rowOff>19051</xdr:rowOff>
    </xdr:from>
    <xdr:to>
      <xdr:col>23</xdr:col>
      <xdr:colOff>247650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7058025" y="466726"/>
          <a:ext cx="22574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</xdr:row>
      <xdr:rowOff>0</xdr:rowOff>
    </xdr:from>
    <xdr:to>
      <xdr:col>4</xdr:col>
      <xdr:colOff>9525</xdr:colOff>
      <xdr:row>2</xdr:row>
      <xdr:rowOff>1588</xdr:rowOff>
    </xdr:to>
    <xdr:cxnSp macro="">
      <xdr:nvCxnSpPr>
        <xdr:cNvPr id="2" name="Straight Connector 1"/>
        <xdr:cNvCxnSpPr/>
      </xdr:nvCxnSpPr>
      <xdr:spPr>
        <a:xfrm>
          <a:off x="685800" y="419100"/>
          <a:ext cx="17335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333375</xdr:colOff>
      <xdr:row>2</xdr:row>
      <xdr:rowOff>9525</xdr:rowOff>
    </xdr:from>
    <xdr:to>
      <xdr:col>23</xdr:col>
      <xdr:colOff>95250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6724650" y="428625"/>
          <a:ext cx="18573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19050</xdr:rowOff>
    </xdr:from>
    <xdr:to>
      <xdr:col>2</xdr:col>
      <xdr:colOff>495300</xdr:colOff>
      <xdr:row>2</xdr:row>
      <xdr:rowOff>19051</xdr:rowOff>
    </xdr:to>
    <xdr:cxnSp macro="">
      <xdr:nvCxnSpPr>
        <xdr:cNvPr id="3" name="Straight Connector 2"/>
        <xdr:cNvCxnSpPr/>
      </xdr:nvCxnSpPr>
      <xdr:spPr>
        <a:xfrm flipV="1">
          <a:off x="904875" y="495300"/>
          <a:ext cx="904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304800</xdr:colOff>
      <xdr:row>1</xdr:row>
      <xdr:rowOff>228600</xdr:rowOff>
    </xdr:from>
    <xdr:to>
      <xdr:col>22</xdr:col>
      <xdr:colOff>419100</xdr:colOff>
      <xdr:row>1</xdr:row>
      <xdr:rowOff>228600</xdr:rowOff>
    </xdr:to>
    <xdr:cxnSp macro="">
      <xdr:nvCxnSpPr>
        <xdr:cNvPr id="7" name="Straight Connector 6"/>
        <xdr:cNvCxnSpPr/>
      </xdr:nvCxnSpPr>
      <xdr:spPr>
        <a:xfrm>
          <a:off x="6248400" y="466725"/>
          <a:ext cx="1933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3812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812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5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1</xdr:row>
      <xdr:rowOff>228600</xdr:rowOff>
    </xdr:from>
    <xdr:to>
      <xdr:col>18</xdr:col>
      <xdr:colOff>123825</xdr:colOff>
      <xdr:row>1</xdr:row>
      <xdr:rowOff>228600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53200" y="46672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5</xdr:row>
      <xdr:rowOff>9525</xdr:rowOff>
    </xdr:from>
    <xdr:to>
      <xdr:col>12</xdr:col>
      <xdr:colOff>514350</xdr:colOff>
      <xdr:row>5</xdr:row>
      <xdr:rowOff>9525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695700" y="1066800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952500</xdr:colOff>
      <xdr:row>1</xdr:row>
      <xdr:rowOff>228600</xdr:rowOff>
    </xdr:from>
    <xdr:to>
      <xdr:col>2</xdr:col>
      <xdr:colOff>276225</xdr:colOff>
      <xdr:row>1</xdr:row>
      <xdr:rowOff>228600</xdr:rowOff>
    </xdr:to>
    <xdr:cxnSp macro="">
      <xdr:nvCxnSpPr>
        <xdr:cNvPr id="7" name="Straight Connector 6"/>
        <xdr:cNvCxnSpPr/>
      </xdr:nvCxnSpPr>
      <xdr:spPr>
        <a:xfrm>
          <a:off x="1190625" y="4667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0</xdr:rowOff>
    </xdr:from>
    <xdr:to>
      <xdr:col>2</xdr:col>
      <xdr:colOff>1247775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93345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</xdr:row>
      <xdr:rowOff>19051</xdr:rowOff>
    </xdr:from>
    <xdr:to>
      <xdr:col>13</xdr:col>
      <xdr:colOff>190500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629400" y="466726"/>
          <a:ext cx="2162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0</xdr:rowOff>
    </xdr:from>
    <xdr:to>
      <xdr:col>2</xdr:col>
      <xdr:colOff>1247775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3345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</xdr:row>
      <xdr:rowOff>19051</xdr:rowOff>
    </xdr:from>
    <xdr:to>
      <xdr:col>13</xdr:col>
      <xdr:colOff>190500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629400" y="466726"/>
          <a:ext cx="2162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432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5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24275" y="1085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2</xdr:row>
      <xdr:rowOff>28575</xdr:rowOff>
    </xdr:from>
    <xdr:to>
      <xdr:col>17</xdr:col>
      <xdr:colOff>571500</xdr:colOff>
      <xdr:row>2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762750" y="5048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5</xdr:row>
      <xdr:rowOff>9525</xdr:rowOff>
    </xdr:from>
    <xdr:to>
      <xdr:col>12</xdr:col>
      <xdr:colOff>514350</xdr:colOff>
      <xdr:row>5</xdr:row>
      <xdr:rowOff>9525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219575" y="1066800"/>
          <a:ext cx="233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7" name="Straight Connector 6"/>
        <xdr:cNvCxnSpPr/>
      </xdr:nvCxnSpPr>
      <xdr:spPr>
        <a:xfrm>
          <a:off x="128587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2</xdr:row>
      <xdr:rowOff>9525</xdr:rowOff>
    </xdr:from>
    <xdr:to>
      <xdr:col>3</xdr:col>
      <xdr:colOff>142875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47750" y="48577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9525</xdr:rowOff>
    </xdr:from>
    <xdr:to>
      <xdr:col>17</xdr:col>
      <xdr:colOff>228600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858000" y="485775"/>
          <a:ext cx="2209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</xdr:row>
      <xdr:rowOff>0</xdr:rowOff>
    </xdr:from>
    <xdr:to>
      <xdr:col>1</xdr:col>
      <xdr:colOff>1295400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23950" y="476250"/>
          <a:ext cx="657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</xdr:row>
      <xdr:rowOff>0</xdr:rowOff>
    </xdr:from>
    <xdr:to>
      <xdr:col>13</xdr:col>
      <xdr:colOff>457200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6305550" y="47625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1</xdr:col>
      <xdr:colOff>1276350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828675" y="514350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19050</xdr:rowOff>
    </xdr:from>
    <xdr:to>
      <xdr:col>15</xdr:col>
      <xdr:colOff>466725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7038975" y="514350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1"/>
  <sheetViews>
    <sheetView topLeftCell="A7" workbookViewId="0">
      <selection activeCell="X13" sqref="X13"/>
    </sheetView>
  </sheetViews>
  <sheetFormatPr defaultColWidth="9" defaultRowHeight="15"/>
  <cols>
    <col min="1" max="1" width="3.42578125" style="13" customWidth="1"/>
    <col min="2" max="2" width="17.42578125" style="13" customWidth="1"/>
    <col min="3" max="3" width="9.5703125" style="13" customWidth="1"/>
    <col min="4" max="4" width="9.42578125" style="13" customWidth="1"/>
    <col min="5" max="5" width="7.140625" style="13" customWidth="1"/>
    <col min="6" max="8" width="4.42578125" style="13" customWidth="1"/>
    <col min="9" max="9" width="4.28515625" style="13" customWidth="1"/>
    <col min="10" max="10" width="4.5703125" style="13" customWidth="1"/>
    <col min="11" max="13" width="4" style="13" customWidth="1"/>
    <col min="14" max="14" width="4.7109375" style="13" customWidth="1"/>
    <col min="15" max="15" width="4.85546875" style="13" customWidth="1"/>
    <col min="16" max="16" width="3.5703125" style="13" customWidth="1"/>
    <col min="17" max="17" width="5.85546875" style="13" customWidth="1"/>
    <col min="18" max="18" width="7.5703125" style="13" customWidth="1"/>
    <col min="19" max="19" width="7" style="13" customWidth="1"/>
    <col min="20" max="20" width="16.28515625" style="13" customWidth="1"/>
    <col min="21" max="23" width="3.5703125" style="13" customWidth="1"/>
    <col min="24" max="16384" width="9" style="13"/>
  </cols>
  <sheetData>
    <row r="1" spans="1:43" ht="18.75">
      <c r="A1" s="1106" t="s">
        <v>0</v>
      </c>
      <c r="B1" s="1106"/>
      <c r="C1" s="1106"/>
      <c r="D1" s="1106"/>
      <c r="E1" s="1106"/>
      <c r="F1" s="815"/>
      <c r="G1" s="326"/>
      <c r="H1" s="326"/>
      <c r="I1" s="326"/>
      <c r="J1" s="2"/>
      <c r="K1" s="2"/>
      <c r="L1" s="2"/>
      <c r="M1" s="2"/>
      <c r="N1" s="2"/>
      <c r="O1" s="1077" t="s">
        <v>1</v>
      </c>
      <c r="P1" s="1077"/>
      <c r="Q1" s="1077"/>
      <c r="R1" s="1077"/>
      <c r="S1" s="1077"/>
      <c r="T1" s="1077"/>
      <c r="U1" s="325"/>
      <c r="V1" s="325"/>
      <c r="W1" s="325"/>
    </row>
    <row r="2" spans="1:43" ht="18.75">
      <c r="A2" s="1107" t="s">
        <v>2</v>
      </c>
      <c r="B2" s="1107"/>
      <c r="C2" s="1107"/>
      <c r="D2" s="1107"/>
      <c r="E2" s="1107"/>
      <c r="F2" s="813"/>
      <c r="G2" s="325"/>
      <c r="H2" s="325"/>
      <c r="I2" s="325"/>
      <c r="J2" s="7"/>
      <c r="K2" s="7"/>
      <c r="L2" s="7"/>
      <c r="M2" s="7"/>
      <c r="N2" s="2"/>
      <c r="O2" s="1078" t="s">
        <v>3</v>
      </c>
      <c r="P2" s="1078"/>
      <c r="Q2" s="1078"/>
      <c r="R2" s="1078"/>
      <c r="S2" s="1078"/>
      <c r="T2" s="1078"/>
      <c r="U2" s="4"/>
      <c r="V2" s="4"/>
      <c r="W2" s="4"/>
    </row>
    <row r="3" spans="1:43" ht="18.75">
      <c r="A3" s="2"/>
      <c r="B3" s="2"/>
      <c r="C3" s="2"/>
      <c r="D3" s="2"/>
      <c r="E3" s="5"/>
      <c r="F3" s="5"/>
      <c r="G3" s="80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108"/>
      <c r="W3" s="1108"/>
    </row>
    <row r="4" spans="1:43" ht="18.75">
      <c r="A4" s="1109" t="s">
        <v>682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3" t="s">
        <v>443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8.75">
      <c r="A5" s="812"/>
      <c r="B5" s="812"/>
      <c r="C5" s="812"/>
      <c r="D5" s="812"/>
      <c r="E5" s="812"/>
      <c r="F5" s="812"/>
      <c r="G5" s="699"/>
      <c r="H5" s="812"/>
      <c r="I5" s="812"/>
      <c r="J5" s="812"/>
      <c r="K5" s="812"/>
      <c r="L5" s="812"/>
      <c r="M5" s="812"/>
      <c r="N5" s="812"/>
      <c r="O5" s="812"/>
      <c r="P5" s="812"/>
      <c r="Q5" s="812"/>
      <c r="R5" s="812"/>
      <c r="S5" s="812"/>
      <c r="T5" s="812"/>
      <c r="U5" s="812"/>
      <c r="V5" s="6"/>
      <c r="W5" s="6"/>
    </row>
    <row r="6" spans="1:43" s="170" customFormat="1" ht="14.25" customHeight="1">
      <c r="A6" s="1099" t="s">
        <v>5</v>
      </c>
      <c r="B6" s="1102" t="s">
        <v>6</v>
      </c>
      <c r="C6" s="1102" t="s">
        <v>7</v>
      </c>
      <c r="D6" s="1105" t="s">
        <v>8</v>
      </c>
      <c r="E6" s="1102" t="s">
        <v>9</v>
      </c>
      <c r="F6" s="1096" t="s">
        <v>151</v>
      </c>
      <c r="G6" s="1098"/>
      <c r="H6" s="1093" t="s">
        <v>680</v>
      </c>
      <c r="I6" s="1094"/>
      <c r="J6" s="1095"/>
      <c r="K6" s="1096" t="s">
        <v>235</v>
      </c>
      <c r="L6" s="1097"/>
      <c r="M6" s="1098"/>
      <c r="N6" s="1096" t="s">
        <v>679</v>
      </c>
      <c r="O6" s="1097"/>
      <c r="P6" s="1097"/>
      <c r="Q6" s="1098"/>
      <c r="R6" s="814"/>
      <c r="S6" s="280"/>
      <c r="T6" s="280"/>
    </row>
    <row r="7" spans="1:43" s="170" customFormat="1" ht="14.25" customHeight="1">
      <c r="A7" s="1101"/>
      <c r="B7" s="1103"/>
      <c r="C7" s="1103"/>
      <c r="D7" s="1103"/>
      <c r="E7" s="1103"/>
      <c r="F7" s="1099" t="s">
        <v>456</v>
      </c>
      <c r="G7" s="1080" t="s">
        <v>10</v>
      </c>
      <c r="H7" s="1085" t="s">
        <v>20</v>
      </c>
      <c r="I7" s="1085" t="s">
        <v>21</v>
      </c>
      <c r="J7" s="1087" t="s">
        <v>22</v>
      </c>
      <c r="K7" s="1085" t="s">
        <v>20</v>
      </c>
      <c r="L7" s="1085" t="s">
        <v>21</v>
      </c>
      <c r="M7" s="1087" t="s">
        <v>22</v>
      </c>
      <c r="N7" s="1089" t="s">
        <v>23</v>
      </c>
      <c r="O7" s="1089" t="s">
        <v>21</v>
      </c>
      <c r="P7" s="1091" t="s">
        <v>22</v>
      </c>
      <c r="Q7" s="1092"/>
      <c r="R7" s="1075" t="s">
        <v>161</v>
      </c>
      <c r="S7" s="1080" t="s">
        <v>296</v>
      </c>
      <c r="T7" s="1080" t="s">
        <v>13</v>
      </c>
    </row>
    <row r="8" spans="1:43" s="170" customFormat="1" ht="35.25" customHeight="1">
      <c r="A8" s="1100"/>
      <c r="B8" s="1104"/>
      <c r="C8" s="1104"/>
      <c r="D8" s="1104"/>
      <c r="E8" s="1104"/>
      <c r="F8" s="1100"/>
      <c r="G8" s="1081"/>
      <c r="H8" s="1086"/>
      <c r="I8" s="1086"/>
      <c r="J8" s="1088"/>
      <c r="K8" s="1086"/>
      <c r="L8" s="1086"/>
      <c r="M8" s="1088"/>
      <c r="N8" s="1090"/>
      <c r="O8" s="1090"/>
      <c r="P8" s="279" t="s">
        <v>24</v>
      </c>
      <c r="Q8" s="1072" t="s">
        <v>681</v>
      </c>
      <c r="R8" s="1076"/>
      <c r="S8" s="1081"/>
      <c r="T8" s="1081"/>
      <c r="W8" s="13"/>
      <c r="X8" s="13"/>
      <c r="Y8" s="13"/>
      <c r="Z8" s="13"/>
      <c r="AA8" s="13"/>
      <c r="AB8" s="13"/>
      <c r="AC8" s="13"/>
      <c r="AD8" s="13"/>
    </row>
    <row r="9" spans="1:43">
      <c r="A9" s="700">
        <v>1</v>
      </c>
      <c r="B9" s="869" t="s">
        <v>172</v>
      </c>
      <c r="C9" s="870">
        <v>32144</v>
      </c>
      <c r="D9" s="871" t="s">
        <v>173</v>
      </c>
      <c r="E9" s="872">
        <v>2.34</v>
      </c>
      <c r="F9" s="844"/>
      <c r="G9" s="845"/>
      <c r="H9" s="846">
        <v>0.3</v>
      </c>
      <c r="I9" s="1069">
        <v>0</v>
      </c>
      <c r="J9" s="848">
        <f>H9-I9</f>
        <v>0.3</v>
      </c>
      <c r="K9" s="848"/>
      <c r="L9" s="848"/>
      <c r="M9" s="848"/>
      <c r="N9" s="849">
        <v>40</v>
      </c>
      <c r="O9" s="850"/>
      <c r="P9" s="849"/>
      <c r="Q9" s="1073">
        <f>J9*N9%</f>
        <v>0.12</v>
      </c>
      <c r="R9" s="1073">
        <f>Q9*23.5%</f>
        <v>2.8199999999999996E-2</v>
      </c>
      <c r="S9" s="683">
        <f>R9+Q9</f>
        <v>0.1482</v>
      </c>
      <c r="T9" s="684"/>
      <c r="W9" s="171"/>
      <c r="X9" s="171"/>
      <c r="Y9" s="171"/>
      <c r="Z9" s="171"/>
      <c r="AA9" s="171"/>
      <c r="AB9" s="171"/>
      <c r="AC9" s="171"/>
      <c r="AD9" s="171"/>
    </row>
    <row r="10" spans="1:43">
      <c r="A10" s="679">
        <v>2</v>
      </c>
      <c r="B10" s="869" t="s">
        <v>607</v>
      </c>
      <c r="C10" s="870">
        <v>26378</v>
      </c>
      <c r="D10" s="871" t="s">
        <v>38</v>
      </c>
      <c r="E10" s="872">
        <v>2.66</v>
      </c>
      <c r="F10" s="851"/>
      <c r="G10" s="851"/>
      <c r="H10" s="843">
        <v>0.3</v>
      </c>
      <c r="I10" s="1070">
        <v>0</v>
      </c>
      <c r="J10" s="848">
        <f t="shared" ref="J10:J24" si="0">H10-I10</f>
        <v>0.3</v>
      </c>
      <c r="K10" s="848"/>
      <c r="L10" s="848"/>
      <c r="M10" s="848"/>
      <c r="N10" s="843">
        <v>70</v>
      </c>
      <c r="O10" s="850"/>
      <c r="P10" s="849"/>
      <c r="Q10" s="1073">
        <f t="shared" ref="Q10:Q24" si="1">J10*N10%</f>
        <v>0.21</v>
      </c>
      <c r="R10" s="1073">
        <f t="shared" ref="R10:R24" si="2">Q10*23.5%</f>
        <v>4.9349999999999998E-2</v>
      </c>
      <c r="S10" s="683">
        <f t="shared" ref="S10:S24" si="3">R10+Q10</f>
        <v>0.25934999999999997</v>
      </c>
      <c r="T10" s="690"/>
      <c r="W10" s="267"/>
      <c r="X10" s="267"/>
      <c r="Y10" s="267"/>
      <c r="Z10" s="267"/>
      <c r="AA10" s="267"/>
      <c r="AB10" s="267"/>
      <c r="AC10" s="267"/>
      <c r="AD10" s="267"/>
    </row>
    <row r="11" spans="1:43">
      <c r="A11" s="700">
        <v>3</v>
      </c>
      <c r="B11" s="869" t="s">
        <v>608</v>
      </c>
      <c r="C11" s="870">
        <v>29718</v>
      </c>
      <c r="D11" s="871" t="s">
        <v>206</v>
      </c>
      <c r="E11" s="874">
        <v>3.06</v>
      </c>
      <c r="F11" s="851"/>
      <c r="G11" s="851"/>
      <c r="H11" s="846">
        <v>0.3</v>
      </c>
      <c r="I11" s="1070">
        <v>0</v>
      </c>
      <c r="J11" s="848">
        <f t="shared" si="0"/>
        <v>0.3</v>
      </c>
      <c r="K11" s="848"/>
      <c r="L11" s="848"/>
      <c r="M11" s="848"/>
      <c r="N11" s="843">
        <v>70</v>
      </c>
      <c r="O11" s="850"/>
      <c r="P11" s="849"/>
      <c r="Q11" s="1073">
        <f t="shared" si="1"/>
        <v>0.21</v>
      </c>
      <c r="R11" s="1073">
        <f t="shared" si="2"/>
        <v>4.9349999999999998E-2</v>
      </c>
      <c r="S11" s="683">
        <f t="shared" si="3"/>
        <v>0.25934999999999997</v>
      </c>
      <c r="T11" s="684"/>
    </row>
    <row r="12" spans="1:43" ht="15" customHeight="1">
      <c r="A12" s="679">
        <v>4</v>
      </c>
      <c r="B12" s="869" t="s">
        <v>547</v>
      </c>
      <c r="C12" s="870">
        <v>30873</v>
      </c>
      <c r="D12" s="871" t="s">
        <v>29</v>
      </c>
      <c r="E12" s="872">
        <v>2.67</v>
      </c>
      <c r="F12" s="851"/>
      <c r="G12" s="851"/>
      <c r="H12" s="843">
        <v>0.3</v>
      </c>
      <c r="I12" s="1070">
        <v>0</v>
      </c>
      <c r="J12" s="848">
        <f t="shared" si="0"/>
        <v>0.3</v>
      </c>
      <c r="K12" s="848"/>
      <c r="L12" s="848"/>
      <c r="M12" s="848"/>
      <c r="N12" s="843">
        <v>40</v>
      </c>
      <c r="O12" s="850"/>
      <c r="P12" s="849"/>
      <c r="Q12" s="1073">
        <f t="shared" si="1"/>
        <v>0.12</v>
      </c>
      <c r="R12" s="1073">
        <f t="shared" si="2"/>
        <v>2.8199999999999996E-2</v>
      </c>
      <c r="S12" s="683">
        <f t="shared" si="3"/>
        <v>0.1482</v>
      </c>
      <c r="T12" s="690"/>
    </row>
    <row r="13" spans="1:43">
      <c r="A13" s="700">
        <v>5</v>
      </c>
      <c r="B13" s="869" t="s">
        <v>286</v>
      </c>
      <c r="C13" s="871" t="s">
        <v>287</v>
      </c>
      <c r="D13" s="871" t="s">
        <v>36</v>
      </c>
      <c r="E13" s="874">
        <v>2.46</v>
      </c>
      <c r="F13" s="851"/>
      <c r="G13" s="851"/>
      <c r="H13" s="843">
        <v>0.3</v>
      </c>
      <c r="I13" s="1070">
        <v>0</v>
      </c>
      <c r="J13" s="848">
        <f t="shared" si="0"/>
        <v>0.3</v>
      </c>
      <c r="K13" s="848"/>
      <c r="L13" s="848"/>
      <c r="M13" s="848"/>
      <c r="N13" s="843">
        <v>40</v>
      </c>
      <c r="O13" s="850"/>
      <c r="P13" s="849"/>
      <c r="Q13" s="1073">
        <f t="shared" si="1"/>
        <v>0.12</v>
      </c>
      <c r="R13" s="1073">
        <f t="shared" si="2"/>
        <v>2.8199999999999996E-2</v>
      </c>
      <c r="S13" s="683">
        <f t="shared" si="3"/>
        <v>0.1482</v>
      </c>
      <c r="T13" s="690"/>
    </row>
    <row r="14" spans="1:43" s="267" customFormat="1">
      <c r="A14" s="679">
        <v>6</v>
      </c>
      <c r="B14" s="869" t="s">
        <v>91</v>
      </c>
      <c r="C14" s="871" t="s">
        <v>568</v>
      </c>
      <c r="D14" s="871" t="s">
        <v>29</v>
      </c>
      <c r="E14" s="872">
        <v>4.0599999999999996</v>
      </c>
      <c r="F14" s="851"/>
      <c r="G14" s="852"/>
      <c r="H14" s="853">
        <v>0.3</v>
      </c>
      <c r="I14" s="1071">
        <v>0</v>
      </c>
      <c r="J14" s="848">
        <f t="shared" si="0"/>
        <v>0.3</v>
      </c>
      <c r="K14" s="848"/>
      <c r="L14" s="848"/>
      <c r="M14" s="848"/>
      <c r="N14" s="855">
        <v>40</v>
      </c>
      <c r="O14" s="850"/>
      <c r="P14" s="849"/>
      <c r="Q14" s="1073">
        <f t="shared" si="1"/>
        <v>0.12</v>
      </c>
      <c r="R14" s="1073">
        <f t="shared" si="2"/>
        <v>2.8199999999999996E-2</v>
      </c>
      <c r="S14" s="683">
        <f t="shared" si="3"/>
        <v>0.1482</v>
      </c>
      <c r="T14" s="684"/>
      <c r="W14" s="13"/>
      <c r="X14" s="13"/>
      <c r="Y14" s="13"/>
      <c r="Z14" s="13"/>
      <c r="AA14" s="13"/>
      <c r="AB14" s="13"/>
      <c r="AC14" s="13"/>
      <c r="AD14" s="13"/>
    </row>
    <row r="15" spans="1:43">
      <c r="A15" s="700">
        <v>7</v>
      </c>
      <c r="B15" s="869" t="s">
        <v>571</v>
      </c>
      <c r="C15" s="871" t="s">
        <v>572</v>
      </c>
      <c r="D15" s="871" t="s">
        <v>31</v>
      </c>
      <c r="E15" s="874">
        <v>3.33</v>
      </c>
      <c r="F15" s="851"/>
      <c r="G15" s="851"/>
      <c r="H15" s="843">
        <v>0.4</v>
      </c>
      <c r="I15" s="1067">
        <v>0.3</v>
      </c>
      <c r="J15" s="848">
        <f t="shared" si="0"/>
        <v>0.10000000000000003</v>
      </c>
      <c r="K15" s="848"/>
      <c r="L15" s="848"/>
      <c r="M15" s="848"/>
      <c r="N15" s="843">
        <v>40</v>
      </c>
      <c r="O15" s="850"/>
      <c r="P15" s="849"/>
      <c r="Q15" s="1073">
        <f t="shared" si="1"/>
        <v>4.0000000000000015E-2</v>
      </c>
      <c r="R15" s="1073">
        <f t="shared" si="2"/>
        <v>9.4000000000000021E-3</v>
      </c>
      <c r="S15" s="683">
        <f t="shared" si="3"/>
        <v>4.9400000000000013E-2</v>
      </c>
      <c r="T15" s="684"/>
    </row>
    <row r="16" spans="1:43">
      <c r="A16" s="679">
        <v>8</v>
      </c>
      <c r="B16" s="869" t="s">
        <v>178</v>
      </c>
      <c r="C16" s="870">
        <v>33601</v>
      </c>
      <c r="D16" s="871" t="s">
        <v>60</v>
      </c>
      <c r="E16" s="872">
        <v>2.34</v>
      </c>
      <c r="F16" s="851"/>
      <c r="G16" s="851"/>
      <c r="H16" s="843">
        <v>0.4</v>
      </c>
      <c r="I16" s="1067">
        <v>0.3</v>
      </c>
      <c r="J16" s="848">
        <f t="shared" si="0"/>
        <v>0.10000000000000003</v>
      </c>
      <c r="K16" s="848"/>
      <c r="L16" s="848"/>
      <c r="M16" s="848"/>
      <c r="N16" s="843">
        <v>40</v>
      </c>
      <c r="O16" s="850"/>
      <c r="P16" s="849"/>
      <c r="Q16" s="1073">
        <f t="shared" si="1"/>
        <v>4.0000000000000015E-2</v>
      </c>
      <c r="R16" s="1073">
        <f t="shared" si="2"/>
        <v>9.4000000000000021E-3</v>
      </c>
      <c r="S16" s="683">
        <f t="shared" si="3"/>
        <v>4.9400000000000013E-2</v>
      </c>
      <c r="T16" s="690"/>
    </row>
    <row r="17" spans="1:30" ht="18">
      <c r="A17" s="700">
        <v>16</v>
      </c>
      <c r="B17" s="869" t="s">
        <v>222</v>
      </c>
      <c r="C17" s="871" t="s">
        <v>504</v>
      </c>
      <c r="D17" s="871" t="s">
        <v>29</v>
      </c>
      <c r="E17" s="916">
        <v>4.0599999999999996</v>
      </c>
      <c r="F17" s="851">
        <v>6</v>
      </c>
      <c r="G17" s="851">
        <f>E17*F17%</f>
        <v>0.24359999999999996</v>
      </c>
      <c r="H17" s="843">
        <v>0.3</v>
      </c>
      <c r="I17" s="1067">
        <v>0.4</v>
      </c>
      <c r="J17" s="848">
        <f t="shared" si="0"/>
        <v>-0.10000000000000003</v>
      </c>
      <c r="K17" s="848"/>
      <c r="L17" s="848"/>
      <c r="M17" s="848"/>
      <c r="N17" s="843">
        <v>40</v>
      </c>
      <c r="O17" s="850"/>
      <c r="P17" s="849"/>
      <c r="Q17" s="1073">
        <f t="shared" si="1"/>
        <v>-4.0000000000000015E-2</v>
      </c>
      <c r="R17" s="1073">
        <f t="shared" si="2"/>
        <v>-9.4000000000000021E-3</v>
      </c>
      <c r="S17" s="683">
        <f t="shared" si="3"/>
        <v>-4.9400000000000013E-2</v>
      </c>
      <c r="T17" s="684"/>
      <c r="W17" s="810"/>
    </row>
    <row r="18" spans="1:30" s="171" customFormat="1">
      <c r="A18" s="700">
        <v>9</v>
      </c>
      <c r="B18" s="869" t="s">
        <v>594</v>
      </c>
      <c r="C18" s="870" t="s">
        <v>595</v>
      </c>
      <c r="D18" s="871" t="s">
        <v>596</v>
      </c>
      <c r="E18" s="872">
        <v>3</v>
      </c>
      <c r="F18" s="851"/>
      <c r="G18" s="851"/>
      <c r="H18" s="843">
        <v>0</v>
      </c>
      <c r="I18" s="1067">
        <v>0.3</v>
      </c>
      <c r="J18" s="848">
        <f t="shared" si="0"/>
        <v>-0.3</v>
      </c>
      <c r="K18" s="848"/>
      <c r="L18" s="848"/>
      <c r="M18" s="848"/>
      <c r="N18" s="843">
        <v>0</v>
      </c>
      <c r="O18" s="850"/>
      <c r="P18" s="849"/>
      <c r="Q18" s="1073">
        <f t="shared" si="1"/>
        <v>0</v>
      </c>
      <c r="R18" s="1073">
        <f t="shared" si="2"/>
        <v>0</v>
      </c>
      <c r="S18" s="683">
        <f t="shared" si="3"/>
        <v>0</v>
      </c>
      <c r="T18" s="690"/>
      <c r="W18" s="13"/>
      <c r="X18" s="13"/>
      <c r="Y18" s="13"/>
      <c r="Z18" s="13"/>
      <c r="AA18" s="13"/>
      <c r="AB18" s="13"/>
      <c r="AC18" s="13"/>
      <c r="AD18" s="13"/>
    </row>
    <row r="19" spans="1:30">
      <c r="A19" s="700">
        <v>10</v>
      </c>
      <c r="B19" s="869" t="s">
        <v>505</v>
      </c>
      <c r="C19" s="870">
        <v>26368</v>
      </c>
      <c r="D19" s="876" t="s">
        <v>206</v>
      </c>
      <c r="E19" s="872">
        <v>2.91</v>
      </c>
      <c r="F19" s="856"/>
      <c r="G19" s="856"/>
      <c r="H19" s="857">
        <v>0</v>
      </c>
      <c r="I19" s="1067">
        <v>0.3</v>
      </c>
      <c r="J19" s="848">
        <f t="shared" si="0"/>
        <v>-0.3</v>
      </c>
      <c r="K19" s="848"/>
      <c r="L19" s="848"/>
      <c r="M19" s="848"/>
      <c r="N19" s="857">
        <v>40</v>
      </c>
      <c r="O19" s="850"/>
      <c r="P19" s="849"/>
      <c r="Q19" s="1073">
        <f t="shared" si="1"/>
        <v>-0.12</v>
      </c>
      <c r="R19" s="1073">
        <f t="shared" si="2"/>
        <v>-2.8199999999999996E-2</v>
      </c>
      <c r="S19" s="683">
        <f t="shared" si="3"/>
        <v>-0.1482</v>
      </c>
      <c r="T19" s="684"/>
    </row>
    <row r="20" spans="1:30">
      <c r="A20" s="679">
        <v>11</v>
      </c>
      <c r="B20" s="869" t="s">
        <v>586</v>
      </c>
      <c r="C20" s="870">
        <v>24360</v>
      </c>
      <c r="D20" s="871" t="s">
        <v>34</v>
      </c>
      <c r="E20" s="874">
        <v>3.86</v>
      </c>
      <c r="F20" s="856"/>
      <c r="G20" s="856"/>
      <c r="H20" s="843">
        <v>0</v>
      </c>
      <c r="I20" s="1067">
        <v>0.4</v>
      </c>
      <c r="J20" s="848">
        <f t="shared" si="0"/>
        <v>-0.4</v>
      </c>
      <c r="K20" s="848"/>
      <c r="L20" s="848"/>
      <c r="M20" s="848"/>
      <c r="N20" s="857">
        <v>40</v>
      </c>
      <c r="O20" s="850"/>
      <c r="P20" s="849"/>
      <c r="Q20" s="1073">
        <f t="shared" si="1"/>
        <v>-0.16000000000000003</v>
      </c>
      <c r="R20" s="1073">
        <f t="shared" si="2"/>
        <v>-3.7600000000000008E-2</v>
      </c>
      <c r="S20" s="683">
        <f t="shared" si="3"/>
        <v>-0.19760000000000005</v>
      </c>
      <c r="T20" s="684"/>
    </row>
    <row r="21" spans="1:30">
      <c r="A21" s="700">
        <v>12</v>
      </c>
      <c r="B21" s="869" t="s">
        <v>169</v>
      </c>
      <c r="C21" s="871" t="s">
        <v>587</v>
      </c>
      <c r="D21" s="871" t="s">
        <v>34</v>
      </c>
      <c r="E21" s="872">
        <v>3.86</v>
      </c>
      <c r="F21" s="856"/>
      <c r="G21" s="856"/>
      <c r="H21" s="857">
        <v>0</v>
      </c>
      <c r="I21" s="1067">
        <v>0.3</v>
      </c>
      <c r="J21" s="848">
        <f t="shared" si="0"/>
        <v>-0.3</v>
      </c>
      <c r="K21" s="848"/>
      <c r="L21" s="848"/>
      <c r="M21" s="848" t="s">
        <v>69</v>
      </c>
      <c r="N21" s="857">
        <v>40</v>
      </c>
      <c r="O21" s="850"/>
      <c r="P21" s="849"/>
      <c r="Q21" s="1073">
        <f t="shared" si="1"/>
        <v>-0.12</v>
      </c>
      <c r="R21" s="1073">
        <f t="shared" si="2"/>
        <v>-2.8199999999999996E-2</v>
      </c>
      <c r="S21" s="683">
        <f t="shared" si="3"/>
        <v>-0.1482</v>
      </c>
      <c r="T21" s="684"/>
    </row>
    <row r="22" spans="1:30">
      <c r="A22" s="700">
        <v>13</v>
      </c>
      <c r="B22" s="869" t="s">
        <v>207</v>
      </c>
      <c r="C22" s="870">
        <v>24752</v>
      </c>
      <c r="D22" s="871" t="s">
        <v>29</v>
      </c>
      <c r="E22" s="872">
        <v>4.0599999999999996</v>
      </c>
      <c r="F22" s="856"/>
      <c r="G22" s="856"/>
      <c r="H22" s="843">
        <v>0</v>
      </c>
      <c r="I22" s="1067">
        <v>0.3</v>
      </c>
      <c r="J22" s="848">
        <f t="shared" si="0"/>
        <v>-0.3</v>
      </c>
      <c r="K22" s="848"/>
      <c r="L22" s="848"/>
      <c r="M22" s="848"/>
      <c r="N22" s="857">
        <v>40</v>
      </c>
      <c r="O22" s="850"/>
      <c r="P22" s="849"/>
      <c r="Q22" s="1073">
        <f t="shared" si="1"/>
        <v>-0.12</v>
      </c>
      <c r="R22" s="1073">
        <f t="shared" si="2"/>
        <v>-2.8199999999999996E-2</v>
      </c>
      <c r="S22" s="683">
        <f t="shared" si="3"/>
        <v>-0.1482</v>
      </c>
      <c r="T22" s="684"/>
    </row>
    <row r="23" spans="1:30">
      <c r="A23" s="679">
        <v>14</v>
      </c>
      <c r="B23" s="869" t="s">
        <v>623</v>
      </c>
      <c r="C23" s="870">
        <v>22233</v>
      </c>
      <c r="D23" s="871" t="s">
        <v>29</v>
      </c>
      <c r="E23" s="872">
        <v>4.0599999999999996</v>
      </c>
      <c r="F23" s="851">
        <v>9</v>
      </c>
      <c r="G23" s="851">
        <f t="shared" ref="G23:G24" si="4">E23*F23%</f>
        <v>0.36539999999999995</v>
      </c>
      <c r="H23" s="857">
        <v>0</v>
      </c>
      <c r="I23" s="1067">
        <v>0.3</v>
      </c>
      <c r="J23" s="848">
        <f t="shared" si="0"/>
        <v>-0.3</v>
      </c>
      <c r="K23" s="848"/>
      <c r="L23" s="848"/>
      <c r="M23" s="848"/>
      <c r="N23" s="857">
        <v>40</v>
      </c>
      <c r="O23" s="850"/>
      <c r="P23" s="849"/>
      <c r="Q23" s="1073">
        <f t="shared" si="1"/>
        <v>-0.12</v>
      </c>
      <c r="R23" s="1073">
        <f t="shared" si="2"/>
        <v>-2.8199999999999996E-2</v>
      </c>
      <c r="S23" s="683">
        <f t="shared" si="3"/>
        <v>-0.1482</v>
      </c>
      <c r="T23" s="690"/>
      <c r="W23" s="1"/>
    </row>
    <row r="24" spans="1:30" ht="18">
      <c r="A24" s="700">
        <v>15</v>
      </c>
      <c r="B24" s="869" t="s">
        <v>570</v>
      </c>
      <c r="C24" s="870">
        <v>26487</v>
      </c>
      <c r="D24" s="871" t="s">
        <v>206</v>
      </c>
      <c r="E24" s="872">
        <v>4.0599999999999996</v>
      </c>
      <c r="F24" s="856">
        <v>7</v>
      </c>
      <c r="G24" s="851">
        <f t="shared" si="4"/>
        <v>0.28420000000000001</v>
      </c>
      <c r="H24" s="843">
        <v>0</v>
      </c>
      <c r="I24" s="1068">
        <v>0.4</v>
      </c>
      <c r="J24" s="848">
        <f t="shared" si="0"/>
        <v>-0.4</v>
      </c>
      <c r="K24" s="848"/>
      <c r="L24" s="848"/>
      <c r="M24" s="848"/>
      <c r="N24" s="857">
        <v>70</v>
      </c>
      <c r="O24" s="850"/>
      <c r="P24" s="849"/>
      <c r="Q24" s="1073">
        <f t="shared" si="1"/>
        <v>-0.27999999999999997</v>
      </c>
      <c r="R24" s="1073">
        <f t="shared" si="2"/>
        <v>-6.5799999999999984E-2</v>
      </c>
      <c r="S24" s="683">
        <f t="shared" si="3"/>
        <v>-0.34579999999999994</v>
      </c>
      <c r="T24" s="684"/>
      <c r="W24" s="811"/>
    </row>
    <row r="25" spans="1:30">
      <c r="A25" s="1082" t="s">
        <v>39</v>
      </c>
      <c r="B25" s="1083"/>
      <c r="C25" s="694"/>
      <c r="D25" s="695"/>
      <c r="E25" s="263"/>
      <c r="F25" s="263"/>
      <c r="G25" s="263" t="s">
        <v>69</v>
      </c>
      <c r="H25" s="284">
        <f>SUM(H9:H24)</f>
        <v>2.9</v>
      </c>
      <c r="I25" s="284">
        <f>SUM(I9:I24)</f>
        <v>3.2999999999999994</v>
      </c>
      <c r="J25" s="284">
        <f>SUM(J9:J24)</f>
        <v>-0.40000000000000013</v>
      </c>
      <c r="K25" s="284"/>
      <c r="L25" s="284"/>
      <c r="M25" s="284"/>
      <c r="N25" s="284"/>
      <c r="O25" s="284"/>
      <c r="P25" s="696"/>
      <c r="Q25" s="285">
        <f>SUM(Q17)</f>
        <v>-4.0000000000000015E-2</v>
      </c>
      <c r="R25" s="285">
        <f>SUM(R9:R24)</f>
        <v>4.6999999999999681E-3</v>
      </c>
      <c r="S25" s="285">
        <f>SUM(S17)</f>
        <v>-4.9400000000000013E-2</v>
      </c>
      <c r="T25" s="678"/>
    </row>
    <row r="26" spans="1:30" ht="18">
      <c r="A26" s="1084" t="s">
        <v>40</v>
      </c>
      <c r="B26" s="1084"/>
      <c r="C26" s="1084"/>
      <c r="D26" s="1084"/>
      <c r="E26" s="1084"/>
      <c r="F26" s="1084"/>
      <c r="G26" s="1084"/>
      <c r="H26" s="1084"/>
      <c r="I26" s="1084"/>
      <c r="J26" s="1084"/>
      <c r="K26" s="1084"/>
      <c r="L26" s="1084"/>
      <c r="M26" s="1084"/>
      <c r="N26" s="1084"/>
      <c r="O26" s="1084" t="s">
        <v>298</v>
      </c>
      <c r="P26" s="1084"/>
      <c r="Q26" s="1084"/>
      <c r="R26" s="1084"/>
      <c r="S26" s="1084"/>
      <c r="T26" s="1084"/>
      <c r="U26" s="811"/>
      <c r="V26" s="811"/>
      <c r="W26" s="11"/>
    </row>
    <row r="27" spans="1:30" ht="18">
      <c r="A27" s="1079" t="s">
        <v>41</v>
      </c>
      <c r="B27" s="1079"/>
      <c r="C27" s="1079"/>
      <c r="D27" s="1079"/>
      <c r="E27" s="1079"/>
      <c r="F27" s="1079"/>
      <c r="G27" s="1079"/>
      <c r="H27" s="1079"/>
      <c r="I27" s="1079"/>
      <c r="J27" s="858"/>
      <c r="K27" s="859"/>
      <c r="L27" s="859"/>
      <c r="M27" s="859"/>
      <c r="N27" s="305"/>
      <c r="O27" s="11"/>
      <c r="P27" s="11"/>
      <c r="Q27" s="170"/>
      <c r="R27" s="170"/>
      <c r="S27" s="810"/>
      <c r="T27" s="810"/>
      <c r="U27" s="810"/>
      <c r="V27" s="810"/>
    </row>
    <row r="28" spans="1:30" ht="18">
      <c r="A28" s="1074" t="s">
        <v>43</v>
      </c>
      <c r="B28" s="1074"/>
      <c r="C28" s="1074"/>
      <c r="D28" s="12"/>
      <c r="E28" s="1074" t="s">
        <v>44</v>
      </c>
      <c r="F28" s="1074"/>
      <c r="G28" s="1074"/>
      <c r="H28" s="1074"/>
      <c r="I28" s="1074"/>
      <c r="J28" s="1074"/>
      <c r="K28" s="1074"/>
      <c r="L28" s="12"/>
      <c r="M28" s="12"/>
      <c r="N28" s="1074" t="s">
        <v>45</v>
      </c>
      <c r="O28" s="1074"/>
      <c r="P28" s="1074"/>
      <c r="Q28" s="1074"/>
      <c r="R28" s="1074"/>
      <c r="S28" s="1074" t="s">
        <v>43</v>
      </c>
      <c r="T28" s="1074"/>
    </row>
    <row r="29" spans="1:30" ht="105.75" customHeight="1">
      <c r="A29" s="1074" t="s">
        <v>46</v>
      </c>
      <c r="B29" s="1074"/>
      <c r="C29" s="1074"/>
      <c r="D29" s="11"/>
      <c r="E29" s="1074" t="s">
        <v>47</v>
      </c>
      <c r="F29" s="1074"/>
      <c r="G29" s="1074"/>
      <c r="H29" s="1074"/>
      <c r="I29" s="1074"/>
      <c r="J29" s="1074"/>
      <c r="K29" s="1074"/>
      <c r="L29" s="12"/>
      <c r="M29" s="12"/>
      <c r="N29" s="12"/>
      <c r="O29" s="1074" t="s">
        <v>222</v>
      </c>
      <c r="P29" s="1074"/>
      <c r="Q29" s="1074"/>
      <c r="R29" s="810"/>
      <c r="S29" s="1074" t="s">
        <v>49</v>
      </c>
      <c r="T29" s="1074"/>
      <c r="U29" s="1074"/>
      <c r="V29" s="11"/>
      <c r="W29" s="92"/>
    </row>
    <row r="30" spans="1:30" ht="18">
      <c r="D30" s="11"/>
      <c r="O30" s="12"/>
      <c r="P30" s="12"/>
      <c r="Q30" s="1074" t="s">
        <v>69</v>
      </c>
      <c r="R30" s="1074"/>
      <c r="S30" s="1074"/>
      <c r="T30" s="1074"/>
      <c r="U30" s="1074"/>
      <c r="V30" s="1074"/>
      <c r="W30" s="810" t="s">
        <v>69</v>
      </c>
    </row>
    <row r="31" spans="1:30">
      <c r="W31" s="93"/>
    </row>
  </sheetData>
  <mergeCells count="42">
    <mergeCell ref="A1:E1"/>
    <mergeCell ref="A2:E2"/>
    <mergeCell ref="V3:W3"/>
    <mergeCell ref="A4:T4"/>
    <mergeCell ref="H6:J6"/>
    <mergeCell ref="K6:M6"/>
    <mergeCell ref="N6:Q6"/>
    <mergeCell ref="F7:F8"/>
    <mergeCell ref="G7:G8"/>
    <mergeCell ref="H7:H8"/>
    <mergeCell ref="I7:I8"/>
    <mergeCell ref="J7:J8"/>
    <mergeCell ref="K7:K8"/>
    <mergeCell ref="F6:G6"/>
    <mergeCell ref="A25:B25"/>
    <mergeCell ref="A26:N26"/>
    <mergeCell ref="O26:T26"/>
    <mergeCell ref="L7:L8"/>
    <mergeCell ref="M7:M8"/>
    <mergeCell ref="N7:N8"/>
    <mergeCell ref="O7:O8"/>
    <mergeCell ref="P7:Q7"/>
    <mergeCell ref="A6:A8"/>
    <mergeCell ref="B6:B8"/>
    <mergeCell ref="C6:C8"/>
    <mergeCell ref="D6:D8"/>
    <mergeCell ref="E6:E8"/>
    <mergeCell ref="A27:I27"/>
    <mergeCell ref="A28:C28"/>
    <mergeCell ref="E28:K28"/>
    <mergeCell ref="S28:T28"/>
    <mergeCell ref="A29:C29"/>
    <mergeCell ref="E29:K29"/>
    <mergeCell ref="O29:Q29"/>
    <mergeCell ref="S29:U29"/>
    <mergeCell ref="Q30:V30"/>
    <mergeCell ref="R7:R8"/>
    <mergeCell ref="N28:R28"/>
    <mergeCell ref="O1:T1"/>
    <mergeCell ref="O2:T2"/>
    <mergeCell ref="S7:S8"/>
    <mergeCell ref="T7:T8"/>
  </mergeCells>
  <pageMargins left="0.24" right="0.16" top="0.2" bottom="0.32" header="0.2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H30" sqref="H30"/>
    </sheetView>
  </sheetViews>
  <sheetFormatPr defaultRowHeight="15"/>
  <cols>
    <col min="1" max="1" width="3.85546875" style="323" customWidth="1"/>
    <col min="2" max="2" width="18.28515625" customWidth="1"/>
    <col min="3" max="3" width="12.28515625" customWidth="1"/>
    <col min="4" max="4" width="8.7109375" style="101" customWidth="1"/>
    <col min="5" max="5" width="7" style="101" customWidth="1"/>
    <col min="6" max="6" width="12.7109375" customWidth="1"/>
    <col min="7" max="7" width="6.85546875" style="101" customWidth="1"/>
    <col min="8" max="8" width="13.85546875" customWidth="1"/>
    <col min="9" max="9" width="5.42578125" style="101" customWidth="1"/>
    <col min="10" max="10" width="3.28515625" customWidth="1"/>
    <col min="11" max="11" width="8.140625" customWidth="1"/>
    <col min="12" max="12" width="3.42578125" style="101" customWidth="1"/>
    <col min="13" max="13" width="6.140625" style="101" customWidth="1"/>
    <col min="14" max="14" width="4.42578125" style="101" customWidth="1"/>
    <col min="15" max="15" width="5.85546875" style="101" customWidth="1"/>
    <col min="16" max="16" width="4.42578125" style="101" customWidth="1"/>
    <col min="17" max="17" width="6.42578125" style="101" customWidth="1"/>
    <col min="18" max="18" width="9.5703125" style="101" customWidth="1"/>
    <col min="19" max="19" width="10" customWidth="1"/>
  </cols>
  <sheetData>
    <row r="1" spans="1:20" s="14" customFormat="1" ht="21.75" customHeight="1">
      <c r="A1" s="1229" t="s">
        <v>0</v>
      </c>
      <c r="B1" s="1229"/>
      <c r="C1" s="1229"/>
      <c r="D1" s="109"/>
      <c r="E1" s="109"/>
      <c r="F1" s="110"/>
      <c r="G1" s="109"/>
      <c r="H1" s="110"/>
      <c r="I1" s="109"/>
      <c r="J1" s="1230" t="s">
        <v>1</v>
      </c>
      <c r="K1" s="1230"/>
      <c r="L1" s="1230"/>
      <c r="M1" s="1230"/>
      <c r="N1" s="1230"/>
      <c r="O1" s="1230"/>
      <c r="P1" s="1230"/>
      <c r="Q1" s="1230"/>
      <c r="R1" s="1230"/>
      <c r="S1" s="1230"/>
    </row>
    <row r="2" spans="1:20" s="14" customFormat="1" ht="17.25" customHeight="1">
      <c r="A2" s="1230" t="s">
        <v>154</v>
      </c>
      <c r="B2" s="1230"/>
      <c r="C2" s="1230"/>
      <c r="D2" s="109"/>
      <c r="E2" s="109"/>
      <c r="F2" s="110"/>
      <c r="G2" s="109"/>
      <c r="H2" s="110"/>
      <c r="I2" s="109"/>
      <c r="J2" s="1231" t="s">
        <v>155</v>
      </c>
      <c r="K2" s="1231"/>
      <c r="L2" s="1231"/>
      <c r="M2" s="1231"/>
      <c r="N2" s="1231"/>
      <c r="O2" s="1231"/>
      <c r="P2" s="1231"/>
      <c r="Q2" s="1231"/>
      <c r="R2" s="1231"/>
      <c r="S2" s="1231"/>
    </row>
    <row r="3" spans="1:20" s="13" customFormat="1">
      <c r="A3" s="792"/>
      <c r="B3" s="94"/>
      <c r="C3" s="94"/>
      <c r="D3" s="98"/>
      <c r="E3" s="98"/>
      <c r="F3" s="94"/>
      <c r="G3" s="98"/>
      <c r="H3" s="94"/>
      <c r="I3" s="98"/>
      <c r="J3" s="94"/>
      <c r="K3" s="94"/>
      <c r="L3" s="98"/>
      <c r="M3" s="98"/>
      <c r="N3" s="98"/>
      <c r="O3" s="98"/>
      <c r="P3" s="98"/>
      <c r="Q3" s="98"/>
      <c r="R3" s="101"/>
    </row>
    <row r="4" spans="1:20" s="13" customFormat="1" ht="23.25" customHeight="1">
      <c r="A4" s="1231" t="s">
        <v>219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  <c r="L4" s="1231"/>
      <c r="M4" s="1231"/>
      <c r="N4" s="1231"/>
      <c r="O4" s="1231"/>
      <c r="P4" s="1231"/>
      <c r="Q4" s="1231"/>
      <c r="R4" s="1231"/>
      <c r="S4" s="1231"/>
    </row>
    <row r="5" spans="1:20">
      <c r="A5" s="792"/>
      <c r="B5" s="94"/>
      <c r="C5" s="94"/>
      <c r="D5" s="98"/>
      <c r="E5" s="98"/>
      <c r="F5" s="94"/>
      <c r="G5" s="98"/>
      <c r="H5" s="94"/>
      <c r="I5" s="98"/>
      <c r="J5" s="94"/>
      <c r="K5" s="94"/>
      <c r="L5" s="98"/>
      <c r="M5" s="98"/>
      <c r="N5" s="98"/>
      <c r="O5" s="98"/>
      <c r="P5" s="98"/>
      <c r="Q5" s="98"/>
      <c r="R5" s="98"/>
      <c r="S5" s="94"/>
      <c r="T5" s="94"/>
    </row>
    <row r="6" spans="1:20" s="115" customFormat="1" ht="45.75" customHeight="1">
      <c r="A6" s="1222" t="s">
        <v>51</v>
      </c>
      <c r="B6" s="1222" t="s">
        <v>6</v>
      </c>
      <c r="C6" s="1222" t="s">
        <v>7</v>
      </c>
      <c r="D6" s="1222" t="s">
        <v>8</v>
      </c>
      <c r="E6" s="1222" t="s">
        <v>185</v>
      </c>
      <c r="F6" s="1222" t="s">
        <v>157</v>
      </c>
      <c r="G6" s="1222" t="s">
        <v>158</v>
      </c>
      <c r="H6" s="1222" t="s">
        <v>186</v>
      </c>
      <c r="I6" s="1222" t="s">
        <v>187</v>
      </c>
      <c r="J6" s="1223" t="s">
        <v>151</v>
      </c>
      <c r="K6" s="1225"/>
      <c r="L6" s="1223" t="s">
        <v>160</v>
      </c>
      <c r="M6" s="1225"/>
      <c r="N6" s="1223" t="s">
        <v>188</v>
      </c>
      <c r="O6" s="1225"/>
      <c r="P6" s="1223" t="s">
        <v>189</v>
      </c>
      <c r="Q6" s="1225"/>
      <c r="R6" s="1222" t="s">
        <v>190</v>
      </c>
      <c r="S6" s="1222" t="s">
        <v>13</v>
      </c>
      <c r="T6" s="125"/>
    </row>
    <row r="7" spans="1:20" ht="28.5">
      <c r="A7" s="1149"/>
      <c r="B7" s="1149"/>
      <c r="C7" s="1149"/>
      <c r="D7" s="1149"/>
      <c r="E7" s="1149"/>
      <c r="F7" s="1149"/>
      <c r="G7" s="1149"/>
      <c r="H7" s="1149"/>
      <c r="I7" s="1149"/>
      <c r="J7" s="118" t="s">
        <v>24</v>
      </c>
      <c r="K7" s="118" t="s">
        <v>9</v>
      </c>
      <c r="L7" s="119" t="s">
        <v>24</v>
      </c>
      <c r="M7" s="119" t="s">
        <v>9</v>
      </c>
      <c r="N7" s="119" t="s">
        <v>24</v>
      </c>
      <c r="O7" s="119" t="s">
        <v>9</v>
      </c>
      <c r="P7" s="119" t="s">
        <v>24</v>
      </c>
      <c r="Q7" s="119" t="s">
        <v>9</v>
      </c>
      <c r="R7" s="1149"/>
      <c r="S7" s="1149"/>
      <c r="T7" s="94"/>
    </row>
    <row r="8" spans="1:20" ht="18.75" customHeight="1">
      <c r="B8" s="1226" t="s">
        <v>191</v>
      </c>
      <c r="C8" s="1227"/>
      <c r="D8" s="117"/>
      <c r="E8" s="117"/>
      <c r="F8" s="116"/>
      <c r="G8" s="117"/>
      <c r="H8" s="116"/>
      <c r="I8" s="117"/>
      <c r="J8" s="116"/>
      <c r="K8" s="116"/>
      <c r="L8" s="117"/>
      <c r="M8" s="117"/>
      <c r="N8" s="117"/>
      <c r="O8" s="117"/>
      <c r="P8" s="117"/>
      <c r="Q8" s="117"/>
      <c r="R8" s="117"/>
      <c r="S8" s="116"/>
      <c r="T8" s="94"/>
    </row>
    <row r="9" spans="1:20" ht="18.75" customHeight="1">
      <c r="A9" s="350">
        <v>1</v>
      </c>
      <c r="B9" s="95" t="s">
        <v>85</v>
      </c>
      <c r="C9" s="96">
        <v>29445</v>
      </c>
      <c r="D9" s="99" t="s">
        <v>36</v>
      </c>
      <c r="E9" s="99">
        <v>2.66</v>
      </c>
      <c r="F9" s="96">
        <v>42736</v>
      </c>
      <c r="G9" s="99">
        <v>2.86</v>
      </c>
      <c r="H9" s="96">
        <v>43466</v>
      </c>
      <c r="I9" s="99">
        <f>G9-E9</f>
        <v>0.19999999999999973</v>
      </c>
      <c r="J9" s="95"/>
      <c r="K9" s="95"/>
      <c r="L9" s="99">
        <v>70</v>
      </c>
      <c r="M9" s="99">
        <f>L9%*I9</f>
        <v>0.13999999999999979</v>
      </c>
      <c r="N9" s="99"/>
      <c r="O9" s="99"/>
      <c r="P9" s="99">
        <v>23.5</v>
      </c>
      <c r="Q9" s="298">
        <f>(K9+I9)*P9%</f>
        <v>4.6999999999999938E-2</v>
      </c>
      <c r="R9" s="300">
        <f>(Q9+O9+M9+K9+I9)*1390</f>
        <v>537.92999999999927</v>
      </c>
      <c r="S9" s="95"/>
      <c r="T9" s="94"/>
    </row>
    <row r="10" spans="1:20" ht="18.75" customHeight="1">
      <c r="B10" s="1234" t="s">
        <v>192</v>
      </c>
      <c r="C10" s="1235"/>
      <c r="D10" s="388"/>
      <c r="E10" s="99"/>
      <c r="F10" s="95"/>
      <c r="G10" s="99"/>
      <c r="H10" s="95"/>
      <c r="I10" s="99"/>
      <c r="J10" s="95"/>
      <c r="K10" s="95"/>
      <c r="L10" s="99"/>
      <c r="M10" s="99" t="s">
        <v>69</v>
      </c>
      <c r="N10" s="99"/>
      <c r="O10" s="99"/>
      <c r="P10" s="99"/>
      <c r="Q10" s="298" t="s">
        <v>69</v>
      </c>
      <c r="R10" s="300"/>
      <c r="S10" s="95"/>
      <c r="T10" s="94"/>
    </row>
    <row r="11" spans="1:20" ht="18.75" customHeight="1">
      <c r="A11" s="350">
        <v>2</v>
      </c>
      <c r="B11" s="95" t="s">
        <v>75</v>
      </c>
      <c r="C11" s="96">
        <v>23995</v>
      </c>
      <c r="D11" s="99" t="s">
        <v>29</v>
      </c>
      <c r="E11" s="99">
        <v>4.0599999999999996</v>
      </c>
      <c r="F11" s="96">
        <v>42767</v>
      </c>
      <c r="G11" s="99">
        <v>4.0599999999999996</v>
      </c>
      <c r="H11" s="96">
        <v>43497</v>
      </c>
      <c r="I11" s="99">
        <v>0.2</v>
      </c>
      <c r="J11" s="95">
        <v>5</v>
      </c>
      <c r="K11" s="95">
        <v>0.20300000000000001</v>
      </c>
      <c r="L11" s="99">
        <v>70</v>
      </c>
      <c r="M11" s="99">
        <f>L11%*K11</f>
        <v>0.1421</v>
      </c>
      <c r="N11" s="99"/>
      <c r="O11" s="99"/>
      <c r="P11" s="99">
        <v>23.5</v>
      </c>
      <c r="Q11" s="298">
        <f>(K11+I11)*P11%</f>
        <v>9.4704999999999998E-2</v>
      </c>
      <c r="R11" s="300">
        <f>(Q11+O11+M11+K11+I11)*1390</f>
        <v>889.32894999999996</v>
      </c>
      <c r="S11" s="95"/>
      <c r="T11" s="94"/>
    </row>
    <row r="12" spans="1:20" s="142" customFormat="1" ht="18.75" customHeight="1">
      <c r="A12" s="801">
        <v>3</v>
      </c>
      <c r="B12" s="384" t="s">
        <v>80</v>
      </c>
      <c r="C12" s="386">
        <v>31992</v>
      </c>
      <c r="D12" s="99" t="s">
        <v>29</v>
      </c>
      <c r="E12" s="99">
        <v>2.66</v>
      </c>
      <c r="F12" s="96">
        <v>43101</v>
      </c>
      <c r="G12" s="99">
        <v>2.86</v>
      </c>
      <c r="H12" s="385">
        <v>43617</v>
      </c>
      <c r="I12" s="99">
        <v>0.2</v>
      </c>
      <c r="J12" s="95"/>
      <c r="K12" s="95"/>
      <c r="L12" s="99">
        <v>70</v>
      </c>
      <c r="M12" s="99">
        <f>L12%*I12</f>
        <v>0.13999999999999999</v>
      </c>
      <c r="N12" s="99"/>
      <c r="O12" s="99"/>
      <c r="P12" s="99">
        <v>23.5</v>
      </c>
      <c r="Q12" s="298">
        <f>(K12+I12)*P12%</f>
        <v>4.7E-2</v>
      </c>
      <c r="R12" s="300">
        <f>(Q12+O12+M12+K12+I12)*1390</f>
        <v>537.93000000000006</v>
      </c>
      <c r="S12" s="95" t="s">
        <v>220</v>
      </c>
      <c r="T12" s="387"/>
    </row>
    <row r="13" spans="1:20" ht="18.75" customHeight="1">
      <c r="A13" s="801"/>
      <c r="B13" s="1234" t="s">
        <v>193</v>
      </c>
      <c r="C13" s="1235"/>
      <c r="D13" s="388"/>
      <c r="E13" s="99"/>
      <c r="F13" s="95"/>
      <c r="G13" s="99"/>
      <c r="H13" s="95"/>
      <c r="I13" s="99"/>
      <c r="J13" s="95"/>
      <c r="K13" s="95"/>
      <c r="L13" s="99"/>
      <c r="M13" s="99" t="s">
        <v>69</v>
      </c>
      <c r="N13" s="99"/>
      <c r="O13" s="99"/>
      <c r="P13" s="99"/>
      <c r="Q13" s="298" t="s">
        <v>69</v>
      </c>
      <c r="R13" s="300"/>
      <c r="S13" s="95"/>
      <c r="T13" s="94"/>
    </row>
    <row r="14" spans="1:20" ht="18.75" customHeight="1">
      <c r="A14" s="350">
        <v>4</v>
      </c>
      <c r="B14" s="95" t="s">
        <v>83</v>
      </c>
      <c r="C14" s="96">
        <v>23668</v>
      </c>
      <c r="D14" s="99" t="s">
        <v>60</v>
      </c>
      <c r="E14" s="99">
        <v>4.6500000000000004</v>
      </c>
      <c r="F14" s="96">
        <v>42675</v>
      </c>
      <c r="G14" s="99">
        <v>4.9800000000000004</v>
      </c>
      <c r="H14" s="385">
        <v>43586</v>
      </c>
      <c r="I14" s="99">
        <f t="shared" ref="I14:I41" si="0">G14-E14</f>
        <v>0.33000000000000007</v>
      </c>
      <c r="J14" s="95"/>
      <c r="K14" s="95"/>
      <c r="L14" s="99">
        <v>70</v>
      </c>
      <c r="M14" s="99">
        <f t="shared" ref="M14:M41" si="1">L14%*I14</f>
        <v>0.23100000000000004</v>
      </c>
      <c r="N14" s="99"/>
      <c r="O14" s="99"/>
      <c r="P14" s="99">
        <v>23.5</v>
      </c>
      <c r="Q14" s="298">
        <f t="shared" ref="Q14:Q41" si="2">(K14+I14)*P14%</f>
        <v>7.7550000000000008E-2</v>
      </c>
      <c r="R14" s="300">
        <f t="shared" ref="R14:R41" si="3">(Q14+O14+M14+K14+I14)*1390</f>
        <v>887.58450000000028</v>
      </c>
      <c r="S14" s="95" t="s">
        <v>220</v>
      </c>
      <c r="T14" s="94"/>
    </row>
    <row r="15" spans="1:20" ht="18.75" customHeight="1">
      <c r="A15" s="801">
        <v>5</v>
      </c>
      <c r="B15" s="95" t="s">
        <v>63</v>
      </c>
      <c r="C15" s="96">
        <v>27935</v>
      </c>
      <c r="D15" s="99" t="s">
        <v>194</v>
      </c>
      <c r="E15" s="99">
        <v>2.66</v>
      </c>
      <c r="F15" s="96">
        <v>42736</v>
      </c>
      <c r="G15" s="99">
        <v>2.86</v>
      </c>
      <c r="H15" s="96">
        <v>43497</v>
      </c>
      <c r="I15" s="99">
        <f t="shared" si="0"/>
        <v>0.19999999999999973</v>
      </c>
      <c r="J15" s="95"/>
      <c r="K15" s="95"/>
      <c r="L15" s="99">
        <v>70</v>
      </c>
      <c r="M15" s="99">
        <f t="shared" si="1"/>
        <v>0.13999999999999979</v>
      </c>
      <c r="N15" s="99"/>
      <c r="O15" s="99"/>
      <c r="P15" s="99">
        <v>23.5</v>
      </c>
      <c r="Q15" s="298">
        <f t="shared" si="2"/>
        <v>4.6999999999999938E-2</v>
      </c>
      <c r="R15" s="300">
        <f t="shared" si="3"/>
        <v>537.92999999999927</v>
      </c>
      <c r="S15" s="95"/>
      <c r="T15" s="94"/>
    </row>
    <row r="16" spans="1:20" ht="18.75" customHeight="1">
      <c r="A16" s="350">
        <v>6</v>
      </c>
      <c r="B16" s="95" t="s">
        <v>86</v>
      </c>
      <c r="C16" s="96">
        <v>30477</v>
      </c>
      <c r="D16" s="99" t="s">
        <v>29</v>
      </c>
      <c r="E16" s="99">
        <v>2.66</v>
      </c>
      <c r="F16" s="96">
        <v>42736</v>
      </c>
      <c r="G16" s="99">
        <v>2.86</v>
      </c>
      <c r="H16" s="96">
        <v>43466</v>
      </c>
      <c r="I16" s="99">
        <f t="shared" si="0"/>
        <v>0.19999999999999973</v>
      </c>
      <c r="J16" s="95"/>
      <c r="K16" s="95"/>
      <c r="L16" s="99">
        <v>70</v>
      </c>
      <c r="M16" s="99">
        <f t="shared" si="1"/>
        <v>0.13999999999999979</v>
      </c>
      <c r="N16" s="99"/>
      <c r="O16" s="99"/>
      <c r="P16" s="99">
        <v>23.5</v>
      </c>
      <c r="Q16" s="298">
        <f t="shared" si="2"/>
        <v>4.6999999999999938E-2</v>
      </c>
      <c r="R16" s="300">
        <f t="shared" si="3"/>
        <v>537.92999999999927</v>
      </c>
      <c r="S16" s="95"/>
      <c r="T16" s="94"/>
    </row>
    <row r="17" spans="1:20" ht="18.75" customHeight="1">
      <c r="A17" s="801">
        <v>7</v>
      </c>
      <c r="B17" s="95" t="s">
        <v>87</v>
      </c>
      <c r="C17" s="96">
        <v>30380</v>
      </c>
      <c r="D17" s="99" t="s">
        <v>34</v>
      </c>
      <c r="E17" s="99">
        <v>2.66</v>
      </c>
      <c r="F17" s="96">
        <v>42736</v>
      </c>
      <c r="G17" s="99">
        <v>2.86</v>
      </c>
      <c r="H17" s="96">
        <v>43466</v>
      </c>
      <c r="I17" s="99">
        <f t="shared" si="0"/>
        <v>0.19999999999999973</v>
      </c>
      <c r="J17" s="95"/>
      <c r="K17" s="95"/>
      <c r="L17" s="99">
        <v>70</v>
      </c>
      <c r="M17" s="99">
        <f t="shared" si="1"/>
        <v>0.13999999999999979</v>
      </c>
      <c r="N17" s="99"/>
      <c r="O17" s="99"/>
      <c r="P17" s="99">
        <v>23.5</v>
      </c>
      <c r="Q17" s="298">
        <f t="shared" si="2"/>
        <v>4.6999999999999938E-2</v>
      </c>
      <c r="R17" s="300">
        <f t="shared" si="3"/>
        <v>537.92999999999927</v>
      </c>
      <c r="S17" s="95"/>
      <c r="T17" s="94"/>
    </row>
    <row r="18" spans="1:20" ht="18.75" customHeight="1">
      <c r="A18" s="801"/>
      <c r="B18" s="1234" t="s">
        <v>195</v>
      </c>
      <c r="C18" s="1238"/>
      <c r="D18" s="99"/>
      <c r="E18" s="99"/>
      <c r="F18" s="95"/>
      <c r="G18" s="99"/>
      <c r="H18" s="95"/>
      <c r="I18" s="99"/>
      <c r="J18" s="95"/>
      <c r="K18" s="95"/>
      <c r="L18" s="99"/>
      <c r="M18" s="99" t="s">
        <v>69</v>
      </c>
      <c r="N18" s="99"/>
      <c r="O18" s="99"/>
      <c r="P18" s="99"/>
      <c r="Q18" s="298" t="s">
        <v>69</v>
      </c>
      <c r="R18" s="300"/>
      <c r="S18" s="95"/>
      <c r="T18" s="94"/>
    </row>
    <row r="19" spans="1:20" ht="18.75" customHeight="1">
      <c r="A19" s="350">
        <v>8</v>
      </c>
      <c r="B19" s="95" t="s">
        <v>104</v>
      </c>
      <c r="C19" s="96">
        <v>31447</v>
      </c>
      <c r="D19" s="99" t="s">
        <v>29</v>
      </c>
      <c r="E19" s="99">
        <v>2.66</v>
      </c>
      <c r="F19" s="96">
        <v>42736</v>
      </c>
      <c r="G19" s="99">
        <v>2.86</v>
      </c>
      <c r="H19" s="96">
        <v>43466</v>
      </c>
      <c r="I19" s="99">
        <f t="shared" si="0"/>
        <v>0.19999999999999973</v>
      </c>
      <c r="J19" s="95"/>
      <c r="K19" s="95"/>
      <c r="L19" s="99">
        <v>70</v>
      </c>
      <c r="M19" s="99">
        <f t="shared" si="1"/>
        <v>0.13999999999999979</v>
      </c>
      <c r="N19" s="99">
        <v>70</v>
      </c>
      <c r="O19" s="298">
        <f>N19%*I19</f>
        <v>0.13999999999999979</v>
      </c>
      <c r="P19" s="99">
        <v>23.5</v>
      </c>
      <c r="Q19" s="298">
        <f t="shared" si="2"/>
        <v>4.6999999999999938E-2</v>
      </c>
      <c r="R19" s="300">
        <f t="shared" si="3"/>
        <v>732.52999999999895</v>
      </c>
      <c r="S19" s="95"/>
      <c r="T19" s="94"/>
    </row>
    <row r="20" spans="1:20" ht="18.75" customHeight="1">
      <c r="A20" s="801"/>
      <c r="B20" s="1234" t="s">
        <v>196</v>
      </c>
      <c r="C20" s="1238"/>
      <c r="D20" s="99"/>
      <c r="E20" s="99"/>
      <c r="F20" s="95"/>
      <c r="G20" s="99"/>
      <c r="H20" s="95"/>
      <c r="I20" s="99"/>
      <c r="J20" s="95"/>
      <c r="K20" s="95"/>
      <c r="L20" s="99"/>
      <c r="M20" s="99" t="s">
        <v>69</v>
      </c>
      <c r="N20" s="99"/>
      <c r="O20" s="99"/>
      <c r="P20" s="99"/>
      <c r="Q20" s="298" t="s">
        <v>69</v>
      </c>
      <c r="R20" s="300"/>
      <c r="S20" s="95"/>
      <c r="T20" s="94"/>
    </row>
    <row r="21" spans="1:20" ht="18.75" customHeight="1">
      <c r="A21" s="801">
        <v>9</v>
      </c>
      <c r="B21" s="95" t="s">
        <v>100</v>
      </c>
      <c r="C21" s="96">
        <v>26873</v>
      </c>
      <c r="D21" s="99" t="s">
        <v>60</v>
      </c>
      <c r="E21" s="99">
        <v>3.66</v>
      </c>
      <c r="F21" s="96">
        <v>42401</v>
      </c>
      <c r="G21" s="99">
        <v>3.99</v>
      </c>
      <c r="H21" s="96">
        <v>43497</v>
      </c>
      <c r="I21" s="99">
        <f t="shared" si="0"/>
        <v>0.33000000000000007</v>
      </c>
      <c r="J21" s="95"/>
      <c r="K21" s="95"/>
      <c r="L21" s="99">
        <v>40</v>
      </c>
      <c r="M21" s="99">
        <f t="shared" si="1"/>
        <v>0.13200000000000003</v>
      </c>
      <c r="N21" s="99"/>
      <c r="O21" s="99"/>
      <c r="P21" s="99">
        <v>23.5</v>
      </c>
      <c r="Q21" s="298">
        <f t="shared" si="2"/>
        <v>7.7550000000000008E-2</v>
      </c>
      <c r="R21" s="300">
        <f t="shared" si="3"/>
        <v>749.97450000000015</v>
      </c>
      <c r="S21" s="95"/>
      <c r="T21" s="94"/>
    </row>
    <row r="22" spans="1:20" ht="18.75" customHeight="1">
      <c r="A22" s="350">
        <v>10</v>
      </c>
      <c r="B22" s="95" t="s">
        <v>129</v>
      </c>
      <c r="C22" s="96">
        <v>28753</v>
      </c>
      <c r="D22" s="99" t="s">
        <v>36</v>
      </c>
      <c r="E22" s="99">
        <v>3.26</v>
      </c>
      <c r="F22" s="96">
        <v>42887</v>
      </c>
      <c r="G22" s="99">
        <v>3.46</v>
      </c>
      <c r="H22" s="96">
        <v>43617</v>
      </c>
      <c r="I22" s="99">
        <f t="shared" si="0"/>
        <v>0.20000000000000018</v>
      </c>
      <c r="J22" s="95"/>
      <c r="K22" s="95"/>
      <c r="L22" s="99">
        <v>40</v>
      </c>
      <c r="M22" s="99">
        <f t="shared" si="1"/>
        <v>8.0000000000000071E-2</v>
      </c>
      <c r="N22" s="99"/>
      <c r="O22" s="99"/>
      <c r="P22" s="99">
        <v>23.5</v>
      </c>
      <c r="Q22" s="298">
        <f t="shared" si="2"/>
        <v>4.7000000000000042E-2</v>
      </c>
      <c r="R22" s="300">
        <f t="shared" si="3"/>
        <v>454.53000000000043</v>
      </c>
      <c r="S22" s="95"/>
      <c r="T22" s="94"/>
    </row>
    <row r="23" spans="1:20" ht="18.75" customHeight="1">
      <c r="A23" s="801"/>
      <c r="B23" s="1234" t="s">
        <v>197</v>
      </c>
      <c r="C23" s="1238"/>
      <c r="D23" s="99"/>
      <c r="E23" s="99"/>
      <c r="F23" s="95"/>
      <c r="G23" s="99"/>
      <c r="H23" s="95"/>
      <c r="I23" s="99"/>
      <c r="J23" s="95"/>
      <c r="K23" s="95"/>
      <c r="L23" s="99"/>
      <c r="M23" s="99" t="s">
        <v>69</v>
      </c>
      <c r="N23" s="99"/>
      <c r="O23" s="99"/>
      <c r="P23" s="99"/>
      <c r="Q23" s="298" t="s">
        <v>69</v>
      </c>
      <c r="R23" s="300"/>
      <c r="S23" s="95"/>
      <c r="T23" s="94"/>
    </row>
    <row r="24" spans="1:20" ht="18.75" customHeight="1">
      <c r="A24" s="801">
        <v>11</v>
      </c>
      <c r="B24" s="95" t="s">
        <v>128</v>
      </c>
      <c r="C24" s="96">
        <v>28542</v>
      </c>
      <c r="D24" s="99" t="s">
        <v>38</v>
      </c>
      <c r="E24" s="99">
        <v>2.66</v>
      </c>
      <c r="F24" s="96">
        <v>42736</v>
      </c>
      <c r="G24" s="99">
        <v>2.86</v>
      </c>
      <c r="H24" s="385">
        <v>43160</v>
      </c>
      <c r="I24" s="99">
        <f t="shared" si="0"/>
        <v>0.19999999999999973</v>
      </c>
      <c r="J24" s="95"/>
      <c r="K24" s="95"/>
      <c r="L24" s="99">
        <v>70</v>
      </c>
      <c r="M24" s="99">
        <f t="shared" si="1"/>
        <v>0.13999999999999979</v>
      </c>
      <c r="N24" s="99"/>
      <c r="O24" s="99"/>
      <c r="P24" s="99">
        <v>23.5</v>
      </c>
      <c r="Q24" s="298">
        <f t="shared" si="2"/>
        <v>4.6999999999999938E-2</v>
      </c>
      <c r="R24" s="300">
        <f t="shared" si="3"/>
        <v>537.92999999999927</v>
      </c>
      <c r="S24" s="95" t="s">
        <v>220</v>
      </c>
      <c r="T24" s="94"/>
    </row>
    <row r="25" spans="1:20" ht="18.75" customHeight="1">
      <c r="A25" s="350">
        <v>12</v>
      </c>
      <c r="B25" s="95" t="s">
        <v>81</v>
      </c>
      <c r="C25" s="96">
        <v>27921</v>
      </c>
      <c r="D25" s="99" t="s">
        <v>194</v>
      </c>
      <c r="E25" s="99">
        <v>4.0599999999999996</v>
      </c>
      <c r="F25" s="96">
        <v>42736</v>
      </c>
      <c r="G25" s="99">
        <v>4.0599999999999996</v>
      </c>
      <c r="H25" s="96">
        <v>43466</v>
      </c>
      <c r="I25" s="99"/>
      <c r="J25" s="95">
        <v>5</v>
      </c>
      <c r="K25" s="299">
        <v>0.20300000000000001</v>
      </c>
      <c r="L25" s="99">
        <v>70</v>
      </c>
      <c r="M25" s="99">
        <f>L25%*K25</f>
        <v>0.1421</v>
      </c>
      <c r="N25" s="99">
        <v>70</v>
      </c>
      <c r="O25" s="99">
        <f>N25%*K25</f>
        <v>0.1421</v>
      </c>
      <c r="P25" s="99">
        <v>23.5</v>
      </c>
      <c r="Q25" s="298">
        <f t="shared" si="2"/>
        <v>4.7704999999999997E-2</v>
      </c>
      <c r="R25" s="300">
        <f t="shared" si="3"/>
        <v>743.51794999999993</v>
      </c>
      <c r="S25" s="95"/>
      <c r="T25" s="94"/>
    </row>
    <row r="26" spans="1:20" ht="18.75" customHeight="1">
      <c r="A26" s="801"/>
      <c r="B26" s="1234" t="s">
        <v>198</v>
      </c>
      <c r="C26" s="1238"/>
      <c r="D26" s="99"/>
      <c r="E26" s="99"/>
      <c r="F26" s="95"/>
      <c r="G26" s="99"/>
      <c r="H26" s="95"/>
      <c r="I26" s="99"/>
      <c r="J26" s="95"/>
      <c r="K26" s="95"/>
      <c r="L26" s="99"/>
      <c r="M26" s="99"/>
      <c r="N26" s="99"/>
      <c r="O26" s="99"/>
      <c r="P26" s="99"/>
      <c r="Q26" s="298" t="s">
        <v>69</v>
      </c>
      <c r="R26" s="300"/>
      <c r="S26" s="95"/>
      <c r="T26" s="94"/>
    </row>
    <row r="27" spans="1:20" ht="18.75" customHeight="1">
      <c r="A27" s="801">
        <v>13</v>
      </c>
      <c r="B27" s="95" t="s">
        <v>134</v>
      </c>
      <c r="C27" s="96">
        <v>31358</v>
      </c>
      <c r="D27" s="99" t="s">
        <v>29</v>
      </c>
      <c r="E27" s="99">
        <v>2.66</v>
      </c>
      <c r="F27" s="96">
        <v>42736</v>
      </c>
      <c r="G27" s="99">
        <v>2.86</v>
      </c>
      <c r="H27" s="96">
        <v>43466</v>
      </c>
      <c r="I27" s="99">
        <f t="shared" si="0"/>
        <v>0.19999999999999973</v>
      </c>
      <c r="J27" s="95"/>
      <c r="K27" s="95"/>
      <c r="L27" s="99">
        <v>70</v>
      </c>
      <c r="M27" s="99">
        <f t="shared" si="1"/>
        <v>0.13999999999999979</v>
      </c>
      <c r="N27" s="99"/>
      <c r="O27" s="99"/>
      <c r="P27" s="99">
        <v>23.5</v>
      </c>
      <c r="Q27" s="298">
        <f t="shared" si="2"/>
        <v>4.6999999999999938E-2</v>
      </c>
      <c r="R27" s="300">
        <f t="shared" si="3"/>
        <v>537.92999999999927</v>
      </c>
      <c r="S27" s="95"/>
      <c r="T27" s="94"/>
    </row>
    <row r="28" spans="1:20" ht="18.75" customHeight="1">
      <c r="A28" s="350">
        <v>14</v>
      </c>
      <c r="B28" s="95" t="s">
        <v>138</v>
      </c>
      <c r="C28" s="96">
        <v>28216</v>
      </c>
      <c r="D28" s="99" t="s">
        <v>38</v>
      </c>
      <c r="E28" s="99">
        <v>2.66</v>
      </c>
      <c r="F28" s="96">
        <v>42736</v>
      </c>
      <c r="G28" s="99">
        <v>2.86</v>
      </c>
      <c r="H28" s="96">
        <v>43466</v>
      </c>
      <c r="I28" s="99">
        <f t="shared" si="0"/>
        <v>0.19999999999999973</v>
      </c>
      <c r="J28" s="95"/>
      <c r="K28" s="95"/>
      <c r="L28" s="99">
        <v>70</v>
      </c>
      <c r="M28" s="99">
        <f t="shared" si="1"/>
        <v>0.13999999999999979</v>
      </c>
      <c r="N28" s="99"/>
      <c r="O28" s="99"/>
      <c r="P28" s="99">
        <v>23.5</v>
      </c>
      <c r="Q28" s="298">
        <f t="shared" si="2"/>
        <v>4.6999999999999938E-2</v>
      </c>
      <c r="R28" s="300">
        <f t="shared" si="3"/>
        <v>537.92999999999927</v>
      </c>
      <c r="S28" s="95"/>
      <c r="T28" s="94"/>
    </row>
    <row r="29" spans="1:20" ht="18.75" customHeight="1">
      <c r="A29" s="801">
        <v>15</v>
      </c>
      <c r="B29" s="95" t="s">
        <v>136</v>
      </c>
      <c r="C29" s="96">
        <v>30639</v>
      </c>
      <c r="D29" s="99" t="s">
        <v>36</v>
      </c>
      <c r="E29" s="99">
        <v>2.66</v>
      </c>
      <c r="F29" s="96">
        <v>42736</v>
      </c>
      <c r="G29" s="99">
        <v>2.86</v>
      </c>
      <c r="H29" s="96">
        <v>43466</v>
      </c>
      <c r="I29" s="99">
        <f t="shared" si="0"/>
        <v>0.19999999999999973</v>
      </c>
      <c r="J29" s="95"/>
      <c r="K29" s="95"/>
      <c r="L29" s="99">
        <v>70</v>
      </c>
      <c r="M29" s="99">
        <f t="shared" si="1"/>
        <v>0.13999999999999979</v>
      </c>
      <c r="N29" s="99"/>
      <c r="O29" s="99"/>
      <c r="P29" s="99">
        <v>23.5</v>
      </c>
      <c r="Q29" s="298">
        <f t="shared" si="2"/>
        <v>4.6999999999999938E-2</v>
      </c>
      <c r="R29" s="300">
        <f t="shared" si="3"/>
        <v>537.92999999999927</v>
      </c>
      <c r="S29" s="95"/>
      <c r="T29" s="94"/>
    </row>
    <row r="30" spans="1:20" ht="18.75" customHeight="1">
      <c r="A30" s="801"/>
      <c r="B30" s="1234" t="s">
        <v>199</v>
      </c>
      <c r="C30" s="1235"/>
      <c r="D30" s="388"/>
      <c r="E30" s="99"/>
      <c r="F30" s="95"/>
      <c r="G30" s="99"/>
      <c r="H30" s="95"/>
      <c r="I30" s="99"/>
      <c r="J30" s="95"/>
      <c r="K30" s="95"/>
      <c r="L30" s="99"/>
      <c r="M30" s="99"/>
      <c r="N30" s="99"/>
      <c r="O30" s="99"/>
      <c r="P30" s="99"/>
      <c r="Q30" s="298" t="s">
        <v>69</v>
      </c>
      <c r="R30" s="300"/>
      <c r="S30" s="95"/>
      <c r="T30" s="94"/>
    </row>
    <row r="31" spans="1:20" ht="18.75" customHeight="1">
      <c r="A31" s="350">
        <v>16</v>
      </c>
      <c r="B31" s="95" t="s">
        <v>140</v>
      </c>
      <c r="C31" s="96">
        <v>30357</v>
      </c>
      <c r="D31" s="99" t="s">
        <v>29</v>
      </c>
      <c r="E31" s="99">
        <v>2.66</v>
      </c>
      <c r="F31" s="96">
        <v>42736</v>
      </c>
      <c r="G31" s="99">
        <v>2.86</v>
      </c>
      <c r="H31" s="96">
        <v>43466</v>
      </c>
      <c r="I31" s="99">
        <f t="shared" si="0"/>
        <v>0.19999999999999973</v>
      </c>
      <c r="J31" s="95"/>
      <c r="K31" s="95"/>
      <c r="L31" s="99">
        <v>70</v>
      </c>
      <c r="M31" s="99">
        <f t="shared" si="1"/>
        <v>0.13999999999999979</v>
      </c>
      <c r="N31" s="99"/>
      <c r="O31" s="99"/>
      <c r="P31" s="99">
        <v>23.5</v>
      </c>
      <c r="Q31" s="298">
        <f t="shared" si="2"/>
        <v>4.6999999999999938E-2</v>
      </c>
      <c r="R31" s="300">
        <f t="shared" si="3"/>
        <v>537.92999999999927</v>
      </c>
      <c r="S31" s="95"/>
      <c r="T31" s="94"/>
    </row>
    <row r="32" spans="1:20" ht="18.75" customHeight="1">
      <c r="A32" s="801">
        <v>17</v>
      </c>
      <c r="B32" s="95" t="s">
        <v>143</v>
      </c>
      <c r="C32" s="96">
        <v>29326</v>
      </c>
      <c r="D32" s="99" t="s">
        <v>38</v>
      </c>
      <c r="E32" s="99">
        <v>2.66</v>
      </c>
      <c r="F32" s="96">
        <v>42736</v>
      </c>
      <c r="G32" s="99">
        <v>2.86</v>
      </c>
      <c r="H32" s="96">
        <v>43466</v>
      </c>
      <c r="I32" s="99">
        <f t="shared" si="0"/>
        <v>0.19999999999999973</v>
      </c>
      <c r="J32" s="95"/>
      <c r="K32" s="95"/>
      <c r="L32" s="99">
        <v>70</v>
      </c>
      <c r="M32" s="99">
        <f t="shared" si="1"/>
        <v>0.13999999999999979</v>
      </c>
      <c r="N32" s="99"/>
      <c r="O32" s="99"/>
      <c r="P32" s="99">
        <v>23.5</v>
      </c>
      <c r="Q32" s="298">
        <f t="shared" si="2"/>
        <v>4.6999999999999938E-2</v>
      </c>
      <c r="R32" s="300">
        <f t="shared" si="3"/>
        <v>537.92999999999927</v>
      </c>
      <c r="S32" s="95"/>
      <c r="T32" s="94"/>
    </row>
    <row r="33" spans="1:21" ht="18.75" customHeight="1">
      <c r="A33" s="801"/>
      <c r="B33" s="1234" t="s">
        <v>200</v>
      </c>
      <c r="C33" s="1238"/>
      <c r="D33" s="99"/>
      <c r="E33" s="99"/>
      <c r="F33" s="95"/>
      <c r="G33" s="99"/>
      <c r="H33" s="95"/>
      <c r="I33" s="99"/>
      <c r="J33" s="95"/>
      <c r="K33" s="95"/>
      <c r="L33" s="99"/>
      <c r="M33" s="99"/>
      <c r="N33" s="99"/>
      <c r="O33" s="99"/>
      <c r="P33" s="99"/>
      <c r="Q33" s="298" t="s">
        <v>69</v>
      </c>
      <c r="R33" s="300"/>
      <c r="S33" s="95"/>
      <c r="T33" s="94"/>
    </row>
    <row r="34" spans="1:21" ht="18.75" customHeight="1">
      <c r="A34" s="350">
        <v>18</v>
      </c>
      <c r="B34" s="95" t="s">
        <v>111</v>
      </c>
      <c r="C34" s="96">
        <v>31221</v>
      </c>
      <c r="D34" s="99" t="s">
        <v>38</v>
      </c>
      <c r="E34" s="99">
        <v>2.66</v>
      </c>
      <c r="F34" s="96">
        <v>42736</v>
      </c>
      <c r="G34" s="99">
        <v>2.86</v>
      </c>
      <c r="H34" s="385">
        <v>43252</v>
      </c>
      <c r="I34" s="99">
        <f t="shared" si="0"/>
        <v>0.19999999999999973</v>
      </c>
      <c r="J34" s="95"/>
      <c r="K34" s="95"/>
      <c r="L34" s="99">
        <v>70</v>
      </c>
      <c r="M34" s="99">
        <f t="shared" si="1"/>
        <v>0.13999999999999979</v>
      </c>
      <c r="N34" s="99"/>
      <c r="O34" s="99"/>
      <c r="P34" s="99">
        <v>23.5</v>
      </c>
      <c r="Q34" s="298">
        <f t="shared" si="2"/>
        <v>4.6999999999999938E-2</v>
      </c>
      <c r="R34" s="300">
        <f t="shared" si="3"/>
        <v>537.92999999999927</v>
      </c>
      <c r="S34" s="95" t="s">
        <v>220</v>
      </c>
      <c r="T34" s="94"/>
    </row>
    <row r="35" spans="1:21" ht="18.75" customHeight="1">
      <c r="A35" s="801">
        <v>19</v>
      </c>
      <c r="B35" s="95" t="s">
        <v>113</v>
      </c>
      <c r="C35" s="96">
        <v>29744</v>
      </c>
      <c r="D35" s="99" t="s">
        <v>34</v>
      </c>
      <c r="E35" s="99">
        <v>2.66</v>
      </c>
      <c r="F35" s="96">
        <v>42736</v>
      </c>
      <c r="G35" s="99">
        <v>2.86</v>
      </c>
      <c r="H35" s="96">
        <v>43466</v>
      </c>
      <c r="I35" s="99">
        <f t="shared" si="0"/>
        <v>0.19999999999999973</v>
      </c>
      <c r="J35" s="95"/>
      <c r="K35" s="95"/>
      <c r="L35" s="99">
        <v>70</v>
      </c>
      <c r="M35" s="99">
        <f t="shared" si="1"/>
        <v>0.13999999999999979</v>
      </c>
      <c r="N35" s="99"/>
      <c r="O35" s="99"/>
      <c r="P35" s="99">
        <v>23.5</v>
      </c>
      <c r="Q35" s="298">
        <f t="shared" si="2"/>
        <v>4.6999999999999938E-2</v>
      </c>
      <c r="R35" s="300">
        <f t="shared" si="3"/>
        <v>537.92999999999927</v>
      </c>
      <c r="S35" s="95"/>
      <c r="T35" s="94"/>
    </row>
    <row r="36" spans="1:21" ht="18.75" customHeight="1">
      <c r="A36" s="350">
        <v>20</v>
      </c>
      <c r="B36" s="95" t="s">
        <v>145</v>
      </c>
      <c r="C36" s="96">
        <v>30597</v>
      </c>
      <c r="D36" s="99" t="s">
        <v>36</v>
      </c>
      <c r="E36" s="99">
        <v>2.66</v>
      </c>
      <c r="F36" s="96">
        <v>42736</v>
      </c>
      <c r="G36" s="99">
        <v>2.86</v>
      </c>
      <c r="H36" s="96">
        <v>43466</v>
      </c>
      <c r="I36" s="99">
        <f t="shared" si="0"/>
        <v>0.19999999999999973</v>
      </c>
      <c r="J36" s="95"/>
      <c r="K36" s="95"/>
      <c r="L36" s="99">
        <v>70</v>
      </c>
      <c r="M36" s="99">
        <f t="shared" si="1"/>
        <v>0.13999999999999979</v>
      </c>
      <c r="N36" s="99"/>
      <c r="O36" s="99"/>
      <c r="P36" s="99">
        <v>23.5</v>
      </c>
      <c r="Q36" s="298">
        <f t="shared" si="2"/>
        <v>4.6999999999999938E-2</v>
      </c>
      <c r="R36" s="300">
        <f t="shared" si="3"/>
        <v>537.92999999999927</v>
      </c>
      <c r="S36" s="95"/>
      <c r="T36" s="94"/>
    </row>
    <row r="37" spans="1:21" ht="18.75" customHeight="1">
      <c r="A37" s="801"/>
      <c r="B37" s="1234" t="s">
        <v>201</v>
      </c>
      <c r="C37" s="1235"/>
      <c r="D37" s="388"/>
      <c r="E37" s="99"/>
      <c r="F37" s="95"/>
      <c r="G37" s="99"/>
      <c r="H37" s="95"/>
      <c r="I37" s="99"/>
      <c r="J37" s="95"/>
      <c r="K37" s="95"/>
      <c r="L37" s="99"/>
      <c r="M37" s="99"/>
      <c r="N37" s="99"/>
      <c r="O37" s="99"/>
      <c r="P37" s="99"/>
      <c r="Q37" s="298" t="s">
        <v>69</v>
      </c>
      <c r="R37" s="300"/>
      <c r="S37" s="95"/>
      <c r="T37" s="94"/>
    </row>
    <row r="38" spans="1:21" ht="18.75" customHeight="1">
      <c r="A38" s="801">
        <v>21</v>
      </c>
      <c r="B38" s="95" t="s">
        <v>32</v>
      </c>
      <c r="C38" s="96">
        <v>31984</v>
      </c>
      <c r="D38" s="99" t="s">
        <v>34</v>
      </c>
      <c r="E38" s="99">
        <v>2.66</v>
      </c>
      <c r="F38" s="96">
        <v>42795</v>
      </c>
      <c r="G38" s="99">
        <v>2.86</v>
      </c>
      <c r="H38" s="96">
        <v>43525</v>
      </c>
      <c r="I38" s="99">
        <f t="shared" si="0"/>
        <v>0.19999999999999973</v>
      </c>
      <c r="J38" s="95"/>
      <c r="K38" s="95"/>
      <c r="L38" s="99">
        <v>40</v>
      </c>
      <c r="M38" s="99">
        <f t="shared" si="1"/>
        <v>7.9999999999999905E-2</v>
      </c>
      <c r="N38" s="99">
        <v>70</v>
      </c>
      <c r="O38" s="298">
        <f t="shared" ref="O38:O39" si="4">N38%*I38</f>
        <v>0.13999999999999979</v>
      </c>
      <c r="P38" s="99">
        <v>23.5</v>
      </c>
      <c r="Q38" s="298">
        <f t="shared" si="2"/>
        <v>4.6999999999999938E-2</v>
      </c>
      <c r="R38" s="300">
        <f t="shared" si="3"/>
        <v>649.12999999999909</v>
      </c>
      <c r="S38" s="95"/>
      <c r="T38" s="94"/>
    </row>
    <row r="39" spans="1:21" ht="18.75" customHeight="1">
      <c r="A39" s="350">
        <v>22</v>
      </c>
      <c r="B39" s="95" t="s">
        <v>35</v>
      </c>
      <c r="C39" s="96">
        <v>28370</v>
      </c>
      <c r="D39" s="99" t="s">
        <v>36</v>
      </c>
      <c r="E39" s="99">
        <v>2.66</v>
      </c>
      <c r="F39" s="96">
        <v>42767</v>
      </c>
      <c r="G39" s="99">
        <v>2.86</v>
      </c>
      <c r="H39" s="96">
        <v>43497</v>
      </c>
      <c r="I39" s="99">
        <f t="shared" si="0"/>
        <v>0.19999999999999973</v>
      </c>
      <c r="J39" s="95"/>
      <c r="K39" s="95"/>
      <c r="L39" s="99">
        <v>40</v>
      </c>
      <c r="M39" s="99">
        <f t="shared" si="1"/>
        <v>7.9999999999999905E-2</v>
      </c>
      <c r="N39" s="99">
        <v>70</v>
      </c>
      <c r="O39" s="298">
        <f t="shared" si="4"/>
        <v>0.13999999999999979</v>
      </c>
      <c r="P39" s="99">
        <v>23.5</v>
      </c>
      <c r="Q39" s="298">
        <f t="shared" si="2"/>
        <v>4.6999999999999938E-2</v>
      </c>
      <c r="R39" s="300">
        <f t="shared" si="3"/>
        <v>649.12999999999909</v>
      </c>
      <c r="S39" s="95"/>
      <c r="T39" s="94"/>
    </row>
    <row r="40" spans="1:21" ht="18.75" customHeight="1">
      <c r="A40" s="801"/>
      <c r="B40" s="1234" t="s">
        <v>202</v>
      </c>
      <c r="C40" s="1235"/>
      <c r="D40" s="388"/>
      <c r="E40" s="99"/>
      <c r="F40" s="95"/>
      <c r="G40" s="99"/>
      <c r="H40" s="95"/>
      <c r="I40" s="99"/>
      <c r="J40" s="95"/>
      <c r="K40" s="95"/>
      <c r="L40" s="99"/>
      <c r="M40" s="99"/>
      <c r="N40" s="99"/>
      <c r="O40" s="99"/>
      <c r="P40" s="99"/>
      <c r="Q40" s="298" t="s">
        <v>69</v>
      </c>
      <c r="R40" s="300"/>
      <c r="S40" s="95"/>
      <c r="T40" s="94"/>
    </row>
    <row r="41" spans="1:21" ht="18.75" customHeight="1">
      <c r="A41" s="801">
        <v>23</v>
      </c>
      <c r="B41" s="95" t="s">
        <v>122</v>
      </c>
      <c r="C41" s="96">
        <v>32217</v>
      </c>
      <c r="D41" s="99" t="s">
        <v>29</v>
      </c>
      <c r="E41" s="99">
        <v>2.46</v>
      </c>
      <c r="F41" s="96">
        <v>42856</v>
      </c>
      <c r="G41" s="99">
        <v>2.66</v>
      </c>
      <c r="H41" s="385" t="s">
        <v>478</v>
      </c>
      <c r="I41" s="99">
        <f t="shared" si="0"/>
        <v>0.20000000000000018</v>
      </c>
      <c r="J41" s="95"/>
      <c r="K41" s="95"/>
      <c r="L41" s="99">
        <v>70</v>
      </c>
      <c r="M41" s="99">
        <f t="shared" si="1"/>
        <v>0.14000000000000012</v>
      </c>
      <c r="N41" s="99"/>
      <c r="O41" s="99"/>
      <c r="P41" s="99">
        <v>23.5</v>
      </c>
      <c r="Q41" s="298">
        <f t="shared" si="2"/>
        <v>4.7000000000000042E-2</v>
      </c>
      <c r="R41" s="300">
        <f t="shared" si="3"/>
        <v>537.93000000000052</v>
      </c>
      <c r="S41" s="95" t="s">
        <v>220</v>
      </c>
      <c r="T41" s="94"/>
    </row>
    <row r="42" spans="1:21" ht="18.75" customHeight="1">
      <c r="A42" s="1236" t="s">
        <v>39</v>
      </c>
      <c r="B42" s="1237"/>
      <c r="C42" s="293"/>
      <c r="D42" s="294"/>
      <c r="E42" s="295">
        <f>SUM(E9:E41)</f>
        <v>67.369999999999962</v>
      </c>
      <c r="F42" s="293"/>
      <c r="G42" s="294" t="s">
        <v>203</v>
      </c>
      <c r="H42" s="293"/>
      <c r="I42" s="297">
        <f>SUM(I9:I41)</f>
        <v>4.6599999999999957</v>
      </c>
      <c r="J42" s="293"/>
      <c r="K42" s="293" t="s">
        <v>204</v>
      </c>
      <c r="L42" s="294"/>
      <c r="M42" s="296" t="s">
        <v>69</v>
      </c>
      <c r="N42" s="294"/>
      <c r="O42" s="301">
        <f ca="1">SUM(O9:O42)</f>
        <v>0.56209999999999938</v>
      </c>
      <c r="P42" s="294"/>
      <c r="Q42" s="302">
        <f>SUM(Q9:Q41)</f>
        <v>1.1905099999999988</v>
      </c>
      <c r="R42" s="296">
        <f>SUM(R9:R41)</f>
        <v>13824.675899999984</v>
      </c>
      <c r="S42" s="97"/>
      <c r="T42" s="94"/>
    </row>
    <row r="43" spans="1:21" s="329" customFormat="1" ht="16.5" customHeight="1">
      <c r="A43" s="745"/>
      <c r="B43" s="1228" t="s">
        <v>369</v>
      </c>
      <c r="C43" s="1228"/>
      <c r="D43" s="1228"/>
      <c r="E43" s="374"/>
      <c r="F43" s="375"/>
      <c r="G43" s="374"/>
      <c r="H43" s="375"/>
      <c r="I43" s="374"/>
      <c r="L43" s="1228" t="s">
        <v>216</v>
      </c>
      <c r="M43" s="1228"/>
      <c r="N43" s="1228"/>
      <c r="O43" s="1228"/>
      <c r="P43" s="1228"/>
      <c r="Q43" s="1228"/>
      <c r="R43" s="1228"/>
      <c r="S43" s="1228"/>
    </row>
    <row r="44" spans="1:21" s="113" customFormat="1" ht="21" customHeight="1">
      <c r="A44" s="1123" t="s">
        <v>217</v>
      </c>
      <c r="B44" s="1123"/>
      <c r="C44" s="1123"/>
      <c r="D44" s="1123"/>
      <c r="E44" s="1123"/>
      <c r="F44" s="1123"/>
      <c r="G44" s="1123"/>
      <c r="H44" s="112"/>
      <c r="I44" s="111"/>
      <c r="L44" s="1123" t="s">
        <v>42</v>
      </c>
      <c r="M44" s="1123"/>
      <c r="N44" s="1123"/>
      <c r="O44" s="1123"/>
      <c r="P44" s="1123"/>
      <c r="Q44" s="1123"/>
      <c r="R44" s="1123"/>
      <c r="S44" s="1123"/>
    </row>
    <row r="45" spans="1:21" s="113" customFormat="1" ht="19.5" customHeight="1">
      <c r="A45" s="1123" t="s">
        <v>183</v>
      </c>
      <c r="B45" s="1123"/>
      <c r="D45" s="1123" t="s">
        <v>221</v>
      </c>
      <c r="E45" s="1123"/>
      <c r="F45" s="1123"/>
      <c r="G45" s="1123"/>
      <c r="H45" s="1123"/>
      <c r="K45" s="1123" t="s">
        <v>45</v>
      </c>
      <c r="L45" s="1123"/>
      <c r="M45" s="1123"/>
      <c r="N45" s="1123"/>
      <c r="Q45" s="1123" t="s">
        <v>43</v>
      </c>
      <c r="R45" s="1123"/>
      <c r="S45" s="1123"/>
      <c r="T45" s="112"/>
      <c r="U45" s="112"/>
    </row>
    <row r="46" spans="1:21" s="14" customFormat="1" ht="14.25">
      <c r="A46" s="746"/>
      <c r="B46" s="110"/>
      <c r="C46" s="110"/>
      <c r="D46" s="110"/>
      <c r="E46" s="109"/>
      <c r="F46" s="110"/>
      <c r="G46" s="109"/>
      <c r="H46" s="110"/>
      <c r="I46" s="109"/>
      <c r="J46" s="110"/>
      <c r="K46" s="110"/>
      <c r="L46" s="110"/>
      <c r="M46" s="109"/>
      <c r="N46" s="109"/>
      <c r="O46" s="109"/>
      <c r="P46" s="109"/>
      <c r="Q46" s="110"/>
    </row>
    <row r="47" spans="1:21" s="14" customFormat="1" ht="14.25">
      <c r="A47" s="746"/>
      <c r="B47" s="110"/>
      <c r="C47" s="110"/>
      <c r="D47" s="110"/>
      <c r="E47" s="109"/>
      <c r="F47" s="110"/>
      <c r="G47" s="109"/>
      <c r="H47" s="110"/>
      <c r="I47" s="109"/>
      <c r="J47" s="110"/>
      <c r="K47" s="110"/>
      <c r="L47" s="110"/>
      <c r="M47" s="109"/>
      <c r="N47" s="109"/>
      <c r="O47" s="109"/>
      <c r="P47" s="109"/>
      <c r="Q47" s="110"/>
    </row>
    <row r="48" spans="1:21" s="14" customFormat="1" ht="14.25">
      <c r="A48" s="746"/>
      <c r="B48" s="110"/>
      <c r="C48" s="110"/>
      <c r="D48" s="110"/>
      <c r="E48" s="109"/>
      <c r="F48" s="110"/>
      <c r="G48" s="109"/>
      <c r="H48" s="110"/>
      <c r="I48" s="109"/>
      <c r="J48" s="110"/>
      <c r="K48" s="110"/>
      <c r="L48" s="110"/>
      <c r="M48" s="109"/>
      <c r="N48" s="109"/>
      <c r="O48" s="109"/>
      <c r="P48" s="109"/>
      <c r="Q48" s="110"/>
    </row>
    <row r="49" spans="1:21" s="14" customFormat="1" ht="14.25">
      <c r="A49" s="746"/>
      <c r="B49" s="110"/>
      <c r="C49" s="110"/>
      <c r="D49" s="110"/>
      <c r="E49" s="109"/>
      <c r="F49" s="110"/>
      <c r="G49" s="109"/>
      <c r="H49" s="110"/>
      <c r="I49" s="109"/>
      <c r="J49" s="110"/>
      <c r="K49" s="110"/>
      <c r="L49" s="110"/>
      <c r="M49" s="109"/>
      <c r="N49" s="109"/>
      <c r="O49" s="109"/>
      <c r="P49" s="109"/>
      <c r="Q49" s="110"/>
    </row>
    <row r="50" spans="1:21" s="229" customFormat="1" ht="34.5" customHeight="1">
      <c r="A50" s="1231" t="s">
        <v>46</v>
      </c>
      <c r="B50" s="1231"/>
      <c r="C50" s="127"/>
      <c r="D50" s="1231" t="s">
        <v>356</v>
      </c>
      <c r="E50" s="1231"/>
      <c r="F50" s="1231"/>
      <c r="G50" s="1231"/>
      <c r="H50" s="1231"/>
      <c r="K50" s="1231" t="s">
        <v>222</v>
      </c>
      <c r="L50" s="1231"/>
      <c r="M50" s="1231"/>
      <c r="N50" s="1231"/>
      <c r="Q50" s="1231" t="s">
        <v>49</v>
      </c>
      <c r="R50" s="1231"/>
      <c r="S50" s="1231"/>
      <c r="T50" s="127"/>
      <c r="U50" s="127"/>
    </row>
  </sheetData>
  <mergeCells count="44">
    <mergeCell ref="D45:H45"/>
    <mergeCell ref="D50:H50"/>
    <mergeCell ref="L43:S43"/>
    <mergeCell ref="L44:S44"/>
    <mergeCell ref="Q45:S45"/>
    <mergeCell ref="K45:N45"/>
    <mergeCell ref="Q50:S50"/>
    <mergeCell ref="K50:N50"/>
    <mergeCell ref="S6:S7"/>
    <mergeCell ref="B10:C10"/>
    <mergeCell ref="B8:C8"/>
    <mergeCell ref="A42:B42"/>
    <mergeCell ref="A44:G44"/>
    <mergeCell ref="B43:D43"/>
    <mergeCell ref="B30:C30"/>
    <mergeCell ref="B33:C33"/>
    <mergeCell ref="B37:C37"/>
    <mergeCell ref="B40:C40"/>
    <mergeCell ref="B26:C26"/>
    <mergeCell ref="B13:C13"/>
    <mergeCell ref="B23:C23"/>
    <mergeCell ref="B20:C20"/>
    <mergeCell ref="B18:C18"/>
    <mergeCell ref="A2:C2"/>
    <mergeCell ref="J1:S1"/>
    <mergeCell ref="J2:S2"/>
    <mergeCell ref="A4:S4"/>
    <mergeCell ref="A1:C1"/>
    <mergeCell ref="A50:B50"/>
    <mergeCell ref="G6:G7"/>
    <mergeCell ref="H6:H7"/>
    <mergeCell ref="I6:I7"/>
    <mergeCell ref="R6:R7"/>
    <mergeCell ref="A45:B45"/>
    <mergeCell ref="N6:O6"/>
    <mergeCell ref="L6:M6"/>
    <mergeCell ref="P6:Q6"/>
    <mergeCell ref="J6:K6"/>
    <mergeCell ref="A6:A7"/>
    <mergeCell ref="B6:B7"/>
    <mergeCell ref="C6:C7"/>
    <mergeCell ref="D6:D7"/>
    <mergeCell ref="E6:E7"/>
    <mergeCell ref="F6:F7"/>
  </mergeCells>
  <pageMargins left="0.24" right="0.18" top="0.27" bottom="0.33" header="0.21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23"/>
  <sheetViews>
    <sheetView topLeftCell="A4" workbookViewId="0">
      <selection activeCell="B12" sqref="B12"/>
    </sheetView>
  </sheetViews>
  <sheetFormatPr defaultColWidth="9" defaultRowHeight="15"/>
  <cols>
    <col min="1" max="1" width="4.28515625" style="13" customWidth="1"/>
    <col min="2" max="2" width="14.7109375" style="13" customWidth="1"/>
    <col min="3" max="3" width="13.42578125" style="13" customWidth="1"/>
    <col min="4" max="4" width="9.28515625" style="13" customWidth="1"/>
    <col min="5" max="5" width="5.5703125" style="13" customWidth="1"/>
    <col min="6" max="6" width="5.42578125" style="13" customWidth="1"/>
    <col min="7" max="7" width="12.5703125" style="13" customWidth="1"/>
    <col min="8" max="8" width="5.5703125" style="13" customWidth="1"/>
    <col min="9" max="9" width="5.85546875" style="13" customWidth="1"/>
    <col min="10" max="10" width="13.42578125" style="13" customWidth="1"/>
    <col min="11" max="11" width="5.140625" style="13" customWidth="1"/>
    <col min="12" max="12" width="6.28515625" style="13" customWidth="1"/>
    <col min="13" max="13" width="7" style="13" customWidth="1"/>
    <col min="14" max="14" width="6.42578125" style="13" customWidth="1"/>
    <col min="15" max="16384" width="9" style="13"/>
  </cols>
  <sheetData>
    <row r="1" spans="1:23" s="14" customFormat="1" ht="21.75" customHeight="1">
      <c r="A1" s="1229" t="s">
        <v>0</v>
      </c>
      <c r="B1" s="1229"/>
      <c r="C1" s="1229"/>
      <c r="D1" s="1229"/>
      <c r="E1" s="109"/>
      <c r="F1" s="110"/>
      <c r="G1" s="109"/>
      <c r="H1" s="110"/>
      <c r="I1" s="109"/>
      <c r="J1" s="1229" t="s">
        <v>1</v>
      </c>
      <c r="K1" s="1229"/>
      <c r="L1" s="1229"/>
      <c r="M1" s="1229"/>
      <c r="N1" s="1229"/>
      <c r="O1" s="1229"/>
      <c r="P1" s="1229"/>
      <c r="Q1" s="1229"/>
      <c r="R1" s="1229"/>
      <c r="S1" s="1229"/>
    </row>
    <row r="2" spans="1:23" s="14" customFormat="1" ht="17.25" customHeight="1">
      <c r="A2" s="1230" t="s">
        <v>154</v>
      </c>
      <c r="B2" s="1230"/>
      <c r="C2" s="1230"/>
      <c r="D2" s="1230"/>
      <c r="E2" s="109"/>
      <c r="F2" s="110"/>
      <c r="G2" s="109"/>
      <c r="H2" s="110"/>
      <c r="I2" s="109"/>
      <c r="J2" s="1231" t="s">
        <v>155</v>
      </c>
      <c r="K2" s="1231"/>
      <c r="L2" s="1231"/>
      <c r="M2" s="1231"/>
      <c r="N2" s="1231"/>
      <c r="O2" s="1231"/>
      <c r="P2" s="1231"/>
      <c r="Q2" s="1231"/>
      <c r="R2" s="1231"/>
      <c r="S2" s="1231"/>
    </row>
    <row r="3" spans="1:23">
      <c r="A3" s="94"/>
      <c r="B3" s="94"/>
      <c r="C3" s="94"/>
      <c r="D3" s="98"/>
      <c r="E3" s="98"/>
      <c r="F3" s="94"/>
      <c r="G3" s="98"/>
      <c r="H3" s="94"/>
      <c r="I3" s="98"/>
      <c r="J3" s="94"/>
      <c r="K3" s="94"/>
      <c r="L3" s="98"/>
      <c r="M3" s="98"/>
      <c r="N3" s="98"/>
      <c r="O3" s="98"/>
      <c r="P3" s="98"/>
      <c r="Q3" s="98"/>
      <c r="R3" s="101"/>
    </row>
    <row r="4" spans="1:23" ht="23.25" customHeight="1">
      <c r="A4" s="1245" t="s">
        <v>457</v>
      </c>
      <c r="B4" s="1245"/>
      <c r="C4" s="1245"/>
      <c r="D4" s="1245"/>
      <c r="E4" s="1245"/>
      <c r="F4" s="1245"/>
      <c r="G4" s="1245"/>
      <c r="H4" s="1245"/>
      <c r="I4" s="1245"/>
      <c r="J4" s="1245"/>
      <c r="K4" s="1245"/>
      <c r="L4" s="1245"/>
      <c r="M4" s="1245"/>
      <c r="N4" s="1245"/>
      <c r="O4" s="1245"/>
      <c r="P4" s="1245"/>
      <c r="Q4" s="1245"/>
      <c r="R4" s="127"/>
      <c r="S4" s="127"/>
    </row>
    <row r="5" spans="1:23" ht="41.25" customHeight="1">
      <c r="A5" s="1231" t="s">
        <v>51</v>
      </c>
      <c r="B5" s="1241" t="s">
        <v>227</v>
      </c>
      <c r="C5" s="1241" t="s">
        <v>224</v>
      </c>
      <c r="D5" s="1241" t="s">
        <v>52</v>
      </c>
      <c r="E5" s="1247" t="s">
        <v>225</v>
      </c>
      <c r="F5" s="1247"/>
      <c r="G5" s="1247"/>
      <c r="H5" s="1247" t="s">
        <v>226</v>
      </c>
      <c r="I5" s="1247"/>
      <c r="J5" s="1247"/>
      <c r="K5" s="1247" t="s">
        <v>228</v>
      </c>
      <c r="L5" s="1247"/>
      <c r="M5" s="1247" t="s">
        <v>229</v>
      </c>
      <c r="N5" s="1247"/>
      <c r="O5" s="1241" t="s">
        <v>230</v>
      </c>
      <c r="P5" s="1241" t="s">
        <v>231</v>
      </c>
      <c r="Q5" s="1241" t="s">
        <v>13</v>
      </c>
      <c r="R5" s="365"/>
      <c r="S5" s="365"/>
    </row>
    <row r="6" spans="1:23" ht="34.5" customHeight="1">
      <c r="A6" s="1246"/>
      <c r="B6" s="1242"/>
      <c r="C6" s="1242"/>
      <c r="D6" s="1242"/>
      <c r="E6" s="128" t="s">
        <v>9</v>
      </c>
      <c r="F6" s="128" t="s">
        <v>232</v>
      </c>
      <c r="G6" s="128" t="s">
        <v>57</v>
      </c>
      <c r="H6" s="128" t="s">
        <v>232</v>
      </c>
      <c r="I6" s="128" t="s">
        <v>9</v>
      </c>
      <c r="J6" s="128" t="s">
        <v>57</v>
      </c>
      <c r="K6" s="128" t="s">
        <v>232</v>
      </c>
      <c r="L6" s="128" t="s">
        <v>9</v>
      </c>
      <c r="M6" s="128" t="s">
        <v>232</v>
      </c>
      <c r="N6" s="128" t="s">
        <v>9</v>
      </c>
      <c r="O6" s="1242"/>
      <c r="P6" s="1242"/>
      <c r="Q6" s="1242"/>
      <c r="R6" s="110"/>
      <c r="S6" s="14"/>
    </row>
    <row r="7" spans="1:23" ht="34.5" customHeight="1">
      <c r="A7" s="390"/>
      <c r="B7" s="1243" t="s">
        <v>372</v>
      </c>
      <c r="C7" s="1244"/>
      <c r="D7" s="391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1"/>
      <c r="P7" s="391"/>
      <c r="Q7" s="391"/>
      <c r="R7" s="110"/>
      <c r="S7" s="14"/>
    </row>
    <row r="8" spans="1:23" s="91" customFormat="1" ht="21.75" customHeight="1">
      <c r="A8" s="343">
        <v>1</v>
      </c>
      <c r="B8" s="720" t="s">
        <v>91</v>
      </c>
      <c r="C8" s="721">
        <v>25339</v>
      </c>
      <c r="D8" s="720" t="s">
        <v>29</v>
      </c>
      <c r="E8" s="720">
        <v>4.0599999999999996</v>
      </c>
      <c r="F8" s="720">
        <v>6</v>
      </c>
      <c r="G8" s="723">
        <v>43101</v>
      </c>
      <c r="H8" s="720">
        <v>7</v>
      </c>
      <c r="I8" s="722">
        <f>E8*1%</f>
        <v>4.0599999999999997E-2</v>
      </c>
      <c r="J8" s="721">
        <v>43466</v>
      </c>
      <c r="K8" s="720">
        <v>70</v>
      </c>
      <c r="L8" s="720">
        <f>I8*K8%</f>
        <v>2.8419999999999997E-2</v>
      </c>
      <c r="M8" s="720"/>
      <c r="N8" s="720"/>
      <c r="O8" s="734">
        <f>I8*23.5%</f>
        <v>9.5409999999999991E-3</v>
      </c>
      <c r="P8" s="720">
        <v>109200</v>
      </c>
      <c r="Q8" s="720"/>
      <c r="R8" s="724"/>
      <c r="S8" s="725"/>
    </row>
    <row r="9" spans="1:23" s="91" customFormat="1" ht="21.75" customHeight="1">
      <c r="A9" s="356"/>
      <c r="B9" s="1240" t="s">
        <v>371</v>
      </c>
      <c r="C9" s="1240"/>
      <c r="D9" s="726"/>
      <c r="E9" s="726"/>
      <c r="F9" s="726"/>
      <c r="G9" s="727"/>
      <c r="H9" s="726"/>
      <c r="I9" s="726"/>
      <c r="J9" s="727"/>
      <c r="K9" s="726"/>
      <c r="L9" s="726"/>
      <c r="M9" s="726"/>
      <c r="N9" s="726"/>
      <c r="O9" s="735"/>
      <c r="P9" s="726"/>
      <c r="Q9" s="726"/>
      <c r="R9" s="724"/>
      <c r="S9" s="725"/>
    </row>
    <row r="10" spans="1:23" s="91" customFormat="1" ht="24.75" customHeight="1">
      <c r="A10" s="356">
        <v>2</v>
      </c>
      <c r="B10" s="726" t="s">
        <v>126</v>
      </c>
      <c r="C10" s="727">
        <v>25770</v>
      </c>
      <c r="D10" s="726" t="s">
        <v>29</v>
      </c>
      <c r="E10" s="726">
        <v>4.0599999999999996</v>
      </c>
      <c r="F10" s="726">
        <v>9</v>
      </c>
      <c r="G10" s="729">
        <v>43101</v>
      </c>
      <c r="H10" s="726">
        <v>10</v>
      </c>
      <c r="I10" s="728">
        <f>E10*1%</f>
        <v>4.0599999999999997E-2</v>
      </c>
      <c r="J10" s="729">
        <v>43466</v>
      </c>
      <c r="K10" s="726">
        <v>70</v>
      </c>
      <c r="L10" s="728">
        <f>I10*K10%</f>
        <v>2.8419999999999997E-2</v>
      </c>
      <c r="M10" s="728"/>
      <c r="N10" s="728"/>
      <c r="O10" s="739">
        <f>I10*23.5%</f>
        <v>9.5409999999999991E-3</v>
      </c>
      <c r="P10" s="726">
        <v>92270</v>
      </c>
      <c r="Q10" s="726"/>
      <c r="R10" s="724"/>
      <c r="S10" s="725"/>
    </row>
    <row r="11" spans="1:23" s="983" customFormat="1" ht="24.75" customHeight="1">
      <c r="A11" s="972"/>
      <c r="B11" s="973" t="s">
        <v>683</v>
      </c>
      <c r="C11" s="974">
        <v>23995</v>
      </c>
      <c r="D11" s="975" t="s">
        <v>29</v>
      </c>
      <c r="E11" s="975">
        <v>4.0599999999999996</v>
      </c>
      <c r="F11" s="976">
        <v>5</v>
      </c>
      <c r="G11" s="977">
        <v>43497</v>
      </c>
      <c r="H11" s="976">
        <v>5</v>
      </c>
      <c r="I11" s="978">
        <f>E11*1%</f>
        <v>4.0599999999999997E-2</v>
      </c>
      <c r="J11" s="977">
        <v>43497</v>
      </c>
      <c r="K11" s="976"/>
      <c r="L11" s="979"/>
      <c r="M11" s="979"/>
      <c r="N11" s="979"/>
      <c r="O11" s="980"/>
      <c r="P11" s="976"/>
      <c r="Q11" s="976"/>
      <c r="R11" s="981" t="s">
        <v>670</v>
      </c>
      <c r="S11" s="982"/>
    </row>
    <row r="12" spans="1:23" s="340" customFormat="1" ht="36.75" customHeight="1">
      <c r="A12" s="730"/>
      <c r="B12" s="731" t="s">
        <v>39</v>
      </c>
      <c r="C12" s="736"/>
      <c r="D12" s="732"/>
      <c r="E12" s="732">
        <f>SUM(E8:E10)</f>
        <v>8.1199999999999992</v>
      </c>
      <c r="F12" s="732">
        <f>SUM(F8:F10)</f>
        <v>15</v>
      </c>
      <c r="G12" s="737"/>
      <c r="H12" s="732">
        <f>SUM(H8:H10)</f>
        <v>17</v>
      </c>
      <c r="I12" s="732">
        <f>SUM(I8:I10)</f>
        <v>8.1199999999999994E-2</v>
      </c>
      <c r="J12" s="732"/>
      <c r="K12" s="732" t="s">
        <v>69</v>
      </c>
      <c r="L12" s="732"/>
      <c r="M12" s="732"/>
      <c r="N12" s="732"/>
      <c r="O12" s="738">
        <f>SUM(O8:O10)</f>
        <v>1.9081999999999998E-2</v>
      </c>
      <c r="P12" s="732">
        <f>SUM(P8:P10)</f>
        <v>201470</v>
      </c>
      <c r="Q12" s="732"/>
      <c r="R12" s="733"/>
      <c r="S12" s="640"/>
    </row>
    <row r="13" spans="1:23" ht="27.75" customHeight="1">
      <c r="A13" s="129" t="s">
        <v>354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0"/>
      <c r="L13" s="10"/>
      <c r="M13" s="1084" t="s">
        <v>355</v>
      </c>
      <c r="N13" s="1084"/>
      <c r="O13" s="1084"/>
      <c r="P13" s="1084"/>
      <c r="Q13" s="1084"/>
      <c r="R13" s="129"/>
      <c r="S13" s="129"/>
      <c r="T13" s="129"/>
      <c r="U13" s="129"/>
      <c r="V13" s="129"/>
      <c r="W13" s="129"/>
    </row>
    <row r="14" spans="1:23" ht="18">
      <c r="C14" s="377" t="s">
        <v>217</v>
      </c>
      <c r="D14" s="377"/>
      <c r="E14" s="377"/>
      <c r="F14" s="377"/>
      <c r="G14" s="305"/>
      <c r="H14" s="305"/>
      <c r="I14" s="305"/>
      <c r="J14" s="305"/>
      <c r="K14" s="1074" t="s">
        <v>42</v>
      </c>
      <c r="L14" s="1074"/>
      <c r="M14" s="1074"/>
      <c r="N14" s="1074"/>
      <c r="O14" s="1074"/>
      <c r="P14" s="1074"/>
      <c r="R14" s="12"/>
      <c r="S14" s="12"/>
      <c r="T14" s="12"/>
      <c r="U14" s="12"/>
      <c r="V14" s="12"/>
      <c r="W14" s="12"/>
    </row>
    <row r="15" spans="1:23" ht="18">
      <c r="A15" s="1074" t="s">
        <v>43</v>
      </c>
      <c r="B15" s="1074"/>
      <c r="C15" s="1074"/>
      <c r="D15" s="12"/>
      <c r="E15" s="12" t="s">
        <v>44</v>
      </c>
      <c r="F15" s="12"/>
      <c r="G15" s="12"/>
      <c r="H15" s="12"/>
      <c r="I15" s="12"/>
      <c r="J15" s="1074" t="s">
        <v>45</v>
      </c>
      <c r="K15" s="1074"/>
      <c r="L15" s="1074"/>
      <c r="M15" s="1074"/>
      <c r="O15" s="1074" t="s">
        <v>43</v>
      </c>
      <c r="P15" s="1074"/>
      <c r="Q15" s="1074"/>
      <c r="R15" s="12"/>
    </row>
    <row r="16" spans="1:23" ht="18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8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8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8">
      <c r="A21" s="1074" t="s">
        <v>46</v>
      </c>
      <c r="B21" s="1074"/>
      <c r="C21" s="1074"/>
      <c r="D21" s="11"/>
      <c r="E21" s="1239" t="s">
        <v>356</v>
      </c>
      <c r="F21" s="1239"/>
      <c r="G21" s="1239"/>
      <c r="H21" s="1239"/>
      <c r="I21" s="12"/>
      <c r="J21" s="1074" t="s">
        <v>222</v>
      </c>
      <c r="K21" s="1074"/>
      <c r="L21" s="1074"/>
      <c r="M21" s="1074"/>
      <c r="N21" s="12"/>
      <c r="O21" s="1074" t="s">
        <v>49</v>
      </c>
      <c r="P21" s="1074"/>
      <c r="Q21" s="1074"/>
      <c r="R21" s="12"/>
    </row>
    <row r="22" spans="1:23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23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</sheetData>
  <mergeCells count="27">
    <mergeCell ref="A2:D2"/>
    <mergeCell ref="A1:D1"/>
    <mergeCell ref="K14:P14"/>
    <mergeCell ref="Q5:Q6"/>
    <mergeCell ref="J1:S1"/>
    <mergeCell ref="J2:S2"/>
    <mergeCell ref="A4:Q4"/>
    <mergeCell ref="A5:A6"/>
    <mergeCell ref="B5:B6"/>
    <mergeCell ref="C5:C6"/>
    <mergeCell ref="D5:D6"/>
    <mergeCell ref="E5:G5"/>
    <mergeCell ref="H5:J5"/>
    <mergeCell ref="K5:L5"/>
    <mergeCell ref="M5:N5"/>
    <mergeCell ref="O5:O6"/>
    <mergeCell ref="P5:P6"/>
    <mergeCell ref="B7:C7"/>
    <mergeCell ref="M13:Q13"/>
    <mergeCell ref="A15:C15"/>
    <mergeCell ref="J15:M15"/>
    <mergeCell ref="O15:Q15"/>
    <mergeCell ref="A21:C21"/>
    <mergeCell ref="E21:H21"/>
    <mergeCell ref="J21:M21"/>
    <mergeCell ref="O21:Q21"/>
    <mergeCell ref="B9:C9"/>
  </mergeCells>
  <pageMargins left="0.24" right="0.16" top="0.36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S9" sqref="S9"/>
    </sheetView>
  </sheetViews>
  <sheetFormatPr defaultRowHeight="15"/>
  <cols>
    <col min="1" max="1" width="4.28515625" customWidth="1"/>
    <col min="2" max="2" width="14.7109375" customWidth="1"/>
    <col min="3" max="3" width="12" customWidth="1"/>
    <col min="4" max="4" width="11" customWidth="1"/>
    <col min="5" max="5" width="5.5703125" customWidth="1"/>
    <col min="6" max="6" width="5.42578125" customWidth="1"/>
    <col min="7" max="7" width="13.140625" customWidth="1"/>
    <col min="8" max="8" width="5.5703125" customWidth="1"/>
    <col min="9" max="9" width="6.42578125" customWidth="1"/>
    <col min="10" max="10" width="11.42578125" customWidth="1"/>
    <col min="11" max="11" width="5.140625" customWidth="1"/>
    <col min="12" max="12" width="6.28515625" customWidth="1"/>
    <col min="13" max="13" width="7" customWidth="1"/>
    <col min="14" max="14" width="6.42578125" customWidth="1"/>
  </cols>
  <sheetData>
    <row r="1" spans="1:23" s="14" customFormat="1" ht="21.75" customHeight="1">
      <c r="A1" s="1229" t="s">
        <v>0</v>
      </c>
      <c r="B1" s="1229"/>
      <c r="C1" s="1229"/>
      <c r="D1" s="1229"/>
      <c r="E1" s="109"/>
      <c r="F1" s="110"/>
      <c r="G1" s="109"/>
      <c r="H1" s="110"/>
      <c r="I1" s="109"/>
      <c r="J1" s="1248" t="s">
        <v>1</v>
      </c>
      <c r="K1" s="1248"/>
      <c r="L1" s="1248"/>
      <c r="M1" s="1248"/>
      <c r="N1" s="1248"/>
      <c r="O1" s="1248"/>
      <c r="P1" s="1248"/>
      <c r="Q1" s="1248"/>
      <c r="R1" s="1248"/>
      <c r="S1" s="1248"/>
    </row>
    <row r="2" spans="1:23" s="14" customFormat="1" ht="17.25" customHeight="1">
      <c r="A2" s="1230" t="s">
        <v>154</v>
      </c>
      <c r="B2" s="1230"/>
      <c r="C2" s="1230"/>
      <c r="D2" s="1230"/>
      <c r="E2" s="109"/>
      <c r="F2" s="110"/>
      <c r="G2" s="109"/>
      <c r="H2" s="110"/>
      <c r="I2" s="109"/>
      <c r="J2" s="1231" t="s">
        <v>155</v>
      </c>
      <c r="K2" s="1231"/>
      <c r="L2" s="1231"/>
      <c r="M2" s="1231"/>
      <c r="N2" s="1231"/>
      <c r="O2" s="1231"/>
      <c r="P2" s="1231"/>
      <c r="Q2" s="1231"/>
      <c r="R2" s="1231"/>
      <c r="S2" s="1231"/>
    </row>
    <row r="3" spans="1:23" s="13" customFormat="1">
      <c r="A3" s="94"/>
      <c r="B3" s="94"/>
      <c r="C3" s="94"/>
      <c r="D3" s="98"/>
      <c r="E3" s="98"/>
      <c r="F3" s="94"/>
      <c r="G3" s="98"/>
      <c r="H3" s="94"/>
      <c r="I3" s="98"/>
      <c r="J3" s="94"/>
      <c r="K3" s="94"/>
      <c r="L3" s="98"/>
      <c r="M3" s="98"/>
      <c r="N3" s="98"/>
      <c r="O3" s="98"/>
      <c r="P3" s="98"/>
      <c r="Q3" s="98"/>
      <c r="R3" s="101"/>
    </row>
    <row r="4" spans="1:23" s="13" customFormat="1" ht="23.25" customHeight="1">
      <c r="A4" s="1245" t="s">
        <v>223</v>
      </c>
      <c r="B4" s="1245"/>
      <c r="C4" s="1245"/>
      <c r="D4" s="1245"/>
      <c r="E4" s="1245"/>
      <c r="F4" s="1245"/>
      <c r="G4" s="1245"/>
      <c r="H4" s="1245"/>
      <c r="I4" s="1245"/>
      <c r="J4" s="1245"/>
      <c r="K4" s="1245"/>
      <c r="L4" s="1245"/>
      <c r="M4" s="1245"/>
      <c r="N4" s="1245"/>
      <c r="O4" s="1245"/>
      <c r="P4" s="1245"/>
      <c r="Q4" s="1245"/>
      <c r="R4" s="127"/>
      <c r="S4" s="127"/>
    </row>
    <row r="5" spans="1:23" s="13" customFormat="1" ht="41.25" customHeight="1">
      <c r="A5" s="1231" t="s">
        <v>51</v>
      </c>
      <c r="B5" s="1241" t="s">
        <v>227</v>
      </c>
      <c r="C5" s="1241" t="s">
        <v>224</v>
      </c>
      <c r="D5" s="1241" t="s">
        <v>52</v>
      </c>
      <c r="E5" s="1247" t="s">
        <v>225</v>
      </c>
      <c r="F5" s="1247"/>
      <c r="G5" s="1247"/>
      <c r="H5" s="1247" t="s">
        <v>226</v>
      </c>
      <c r="I5" s="1247"/>
      <c r="J5" s="1247"/>
      <c r="K5" s="1247" t="s">
        <v>228</v>
      </c>
      <c r="L5" s="1247"/>
      <c r="M5" s="1247" t="s">
        <v>229</v>
      </c>
      <c r="N5" s="1247"/>
      <c r="O5" s="1241" t="s">
        <v>230</v>
      </c>
      <c r="P5" s="1241" t="s">
        <v>231</v>
      </c>
      <c r="Q5" s="1241" t="s">
        <v>13</v>
      </c>
      <c r="R5" s="114"/>
      <c r="S5" s="114"/>
    </row>
    <row r="6" spans="1:23" ht="34.5" customHeight="1">
      <c r="A6" s="1246"/>
      <c r="B6" s="1242"/>
      <c r="C6" s="1242"/>
      <c r="D6" s="1242"/>
      <c r="E6" s="128" t="s">
        <v>9</v>
      </c>
      <c r="F6" s="128" t="s">
        <v>232</v>
      </c>
      <c r="G6" s="128" t="s">
        <v>57</v>
      </c>
      <c r="H6" s="128" t="s">
        <v>9</v>
      </c>
      <c r="I6" s="128" t="s">
        <v>232</v>
      </c>
      <c r="J6" s="128" t="s">
        <v>57</v>
      </c>
      <c r="K6" s="128" t="s">
        <v>232</v>
      </c>
      <c r="L6" s="128" t="s">
        <v>9</v>
      </c>
      <c r="M6" s="128" t="s">
        <v>232</v>
      </c>
      <c r="N6" s="128" t="s">
        <v>9</v>
      </c>
      <c r="O6" s="1242"/>
      <c r="P6" s="1242"/>
      <c r="Q6" s="1242"/>
      <c r="R6" s="110"/>
      <c r="S6" s="14"/>
    </row>
    <row r="7" spans="1:23" s="91" customFormat="1" ht="21.75" customHeight="1">
      <c r="A7" s="343">
        <v>1</v>
      </c>
      <c r="B7" s="720" t="s">
        <v>205</v>
      </c>
      <c r="C7" s="721">
        <v>23856</v>
      </c>
      <c r="D7" s="720" t="s">
        <v>206</v>
      </c>
      <c r="E7" s="722">
        <v>4.0599999999999996</v>
      </c>
      <c r="F7" s="722">
        <v>8</v>
      </c>
      <c r="G7" s="723">
        <v>43160</v>
      </c>
      <c r="H7" s="722">
        <v>9</v>
      </c>
      <c r="I7" s="722">
        <f>E7*1%</f>
        <v>4.0599999999999997E-2</v>
      </c>
      <c r="J7" s="723">
        <v>43525</v>
      </c>
      <c r="K7" s="722">
        <v>70</v>
      </c>
      <c r="L7" s="722">
        <f>I7*K7%</f>
        <v>2.8419999999999997E-2</v>
      </c>
      <c r="M7" s="722"/>
      <c r="N7" s="722"/>
      <c r="O7" s="722">
        <f>I7*23.5%</f>
        <v>9.5409999999999991E-3</v>
      </c>
      <c r="P7" s="722">
        <f>(O7+L7+I7)*1490</f>
        <v>117.05588999999999</v>
      </c>
      <c r="Q7" s="722"/>
      <c r="R7" s="724"/>
      <c r="S7" s="725"/>
    </row>
    <row r="8" spans="1:23" s="91" customFormat="1" ht="21.75" customHeight="1">
      <c r="A8" s="356">
        <v>2</v>
      </c>
      <c r="B8" s="726" t="s">
        <v>207</v>
      </c>
      <c r="C8" s="727">
        <v>24663</v>
      </c>
      <c r="D8" s="726" t="s">
        <v>29</v>
      </c>
      <c r="E8" s="726">
        <v>4.0599999999999996</v>
      </c>
      <c r="F8" s="726">
        <v>9</v>
      </c>
      <c r="G8" s="727">
        <v>43252</v>
      </c>
      <c r="H8" s="726">
        <v>10</v>
      </c>
      <c r="I8" s="726">
        <f t="shared" ref="I8:I9" si="0">E8*1%</f>
        <v>4.0599999999999997E-2</v>
      </c>
      <c r="J8" s="727">
        <v>43617</v>
      </c>
      <c r="K8" s="726">
        <v>40</v>
      </c>
      <c r="L8" s="726">
        <f t="shared" ref="L8:L9" si="1">I8*K8%</f>
        <v>1.6240000000000001E-2</v>
      </c>
      <c r="M8" s="726"/>
      <c r="N8" s="726"/>
      <c r="O8" s="726">
        <f t="shared" ref="O8:O9" si="2">I8*23.5%</f>
        <v>9.5409999999999991E-3</v>
      </c>
      <c r="P8" s="726">
        <f t="shared" ref="P8:P9" si="3">(O8+L8+I8)*1490</f>
        <v>98.907689999999988</v>
      </c>
      <c r="Q8" s="726"/>
      <c r="R8" s="724"/>
      <c r="S8" s="725"/>
    </row>
    <row r="9" spans="1:23" s="91" customFormat="1" ht="24.75" customHeight="1">
      <c r="A9" s="356">
        <v>3</v>
      </c>
      <c r="B9" s="726" t="s">
        <v>208</v>
      </c>
      <c r="C9" s="727">
        <v>25817</v>
      </c>
      <c r="D9" s="726" t="s">
        <v>29</v>
      </c>
      <c r="E9" s="728">
        <v>4.0599999999999996</v>
      </c>
      <c r="F9" s="728">
        <v>6</v>
      </c>
      <c r="G9" s="729">
        <v>43191</v>
      </c>
      <c r="H9" s="728">
        <v>7</v>
      </c>
      <c r="I9" s="728">
        <f t="shared" si="0"/>
        <v>4.0599999999999997E-2</v>
      </c>
      <c r="J9" s="729">
        <v>43556</v>
      </c>
      <c r="K9" s="728">
        <v>40</v>
      </c>
      <c r="L9" s="728">
        <f t="shared" si="1"/>
        <v>1.6240000000000001E-2</v>
      </c>
      <c r="M9" s="728"/>
      <c r="N9" s="728"/>
      <c r="O9" s="728">
        <f t="shared" si="2"/>
        <v>9.5409999999999991E-3</v>
      </c>
      <c r="P9" s="728">
        <f t="shared" si="3"/>
        <v>98.907689999999988</v>
      </c>
      <c r="Q9" s="728"/>
      <c r="R9" s="724"/>
      <c r="S9" s="725"/>
    </row>
    <row r="10" spans="1:23" s="340" customFormat="1" ht="28.5" customHeight="1">
      <c r="A10" s="730"/>
      <c r="B10" s="731" t="s">
        <v>39</v>
      </c>
      <c r="C10" s="732"/>
      <c r="D10" s="732"/>
      <c r="E10" s="732">
        <f>SUM(E7:E9)</f>
        <v>12.18</v>
      </c>
      <c r="F10" s="732"/>
      <c r="G10" s="732"/>
      <c r="H10" s="732"/>
      <c r="I10" s="732">
        <f>SUM(I7:I9)</f>
        <v>0.12179999999999999</v>
      </c>
      <c r="J10" s="732"/>
      <c r="K10" s="732"/>
      <c r="L10" s="732">
        <f>SUM(L7:L9)</f>
        <v>6.0899999999999996E-2</v>
      </c>
      <c r="M10" s="732"/>
      <c r="N10" s="732"/>
      <c r="O10" s="732">
        <f>SUM(O7:O9)</f>
        <v>2.8622999999999996E-2</v>
      </c>
      <c r="P10" s="732">
        <f>SUM(P7:P9)</f>
        <v>314.87126999999998</v>
      </c>
      <c r="Q10" s="732"/>
      <c r="R10" s="733"/>
      <c r="S10" s="640"/>
    </row>
    <row r="11" spans="1:23" s="13" customFormat="1" ht="27.75" customHeight="1">
      <c r="A11" s="129" t="s">
        <v>354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0"/>
      <c r="L11" s="10"/>
      <c r="M11" s="1084" t="s">
        <v>355</v>
      </c>
      <c r="N11" s="1084"/>
      <c r="O11" s="1084"/>
      <c r="P11" s="1084"/>
      <c r="Q11" s="1084"/>
      <c r="R11" s="129"/>
      <c r="S11" s="129"/>
      <c r="T11" s="129"/>
      <c r="U11" s="129"/>
      <c r="V11" s="129"/>
      <c r="W11" s="129"/>
    </row>
    <row r="12" spans="1:23" s="13" customFormat="1" ht="18">
      <c r="C12" s="1079" t="s">
        <v>41</v>
      </c>
      <c r="D12" s="1079"/>
      <c r="E12" s="1079"/>
      <c r="F12" s="1079"/>
      <c r="G12" s="305"/>
      <c r="H12" s="305"/>
      <c r="I12" s="305"/>
      <c r="J12" s="305"/>
      <c r="K12" s="305"/>
      <c r="L12" s="305"/>
      <c r="M12" s="1074" t="s">
        <v>42</v>
      </c>
      <c r="N12" s="1074"/>
      <c r="O12" s="1074"/>
      <c r="P12" s="1074"/>
      <c r="Q12" s="1074"/>
      <c r="R12" s="12"/>
      <c r="S12" s="12"/>
      <c r="T12" s="12"/>
      <c r="U12" s="12"/>
      <c r="V12" s="12"/>
      <c r="W12" s="12"/>
    </row>
    <row r="13" spans="1:23" s="13" customFormat="1" ht="18">
      <c r="A13" s="1074" t="s">
        <v>43</v>
      </c>
      <c r="B13" s="1074"/>
      <c r="C13" s="1074"/>
      <c r="D13" s="12"/>
      <c r="E13" s="12" t="s">
        <v>44</v>
      </c>
      <c r="F13" s="12"/>
      <c r="G13" s="12"/>
      <c r="H13" s="12"/>
      <c r="I13" s="12"/>
      <c r="J13" s="1074" t="s">
        <v>45</v>
      </c>
      <c r="K13" s="1074"/>
      <c r="L13" s="1074"/>
      <c r="M13" s="1074"/>
      <c r="O13" s="1074" t="s">
        <v>43</v>
      </c>
      <c r="P13" s="1074"/>
      <c r="Q13" s="1074"/>
      <c r="R13" s="12"/>
    </row>
    <row r="14" spans="1:23" s="13" customFormat="1" ht="1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13" customFormat="1" ht="18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13" customFormat="1" ht="18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13" customFormat="1" ht="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s="13" customFormat="1" ht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13" customFormat="1" ht="18">
      <c r="A19" s="1074" t="s">
        <v>46</v>
      </c>
      <c r="B19" s="1074"/>
      <c r="C19" s="1074"/>
      <c r="D19" s="11"/>
      <c r="E19" s="1239" t="s">
        <v>356</v>
      </c>
      <c r="F19" s="1239"/>
      <c r="G19" s="1239"/>
      <c r="H19" s="1239"/>
      <c r="I19" s="12"/>
      <c r="J19" s="1074" t="s">
        <v>222</v>
      </c>
      <c r="K19" s="1074"/>
      <c r="L19" s="1074"/>
      <c r="M19" s="1074"/>
      <c r="N19" s="12"/>
      <c r="O19" s="1074" t="s">
        <v>49</v>
      </c>
      <c r="P19" s="1074"/>
      <c r="Q19" s="1074"/>
      <c r="R19" s="12"/>
    </row>
    <row r="20" spans="1:2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</row>
    <row r="21" spans="1:23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</sheetData>
  <mergeCells count="26">
    <mergeCell ref="C12:F12"/>
    <mergeCell ref="A19:C19"/>
    <mergeCell ref="M11:Q11"/>
    <mergeCell ref="M12:Q12"/>
    <mergeCell ref="A13:C13"/>
    <mergeCell ref="E19:H19"/>
    <mergeCell ref="O13:Q13"/>
    <mergeCell ref="O19:Q19"/>
    <mergeCell ref="J13:M13"/>
    <mergeCell ref="J19:M19"/>
    <mergeCell ref="A1:D1"/>
    <mergeCell ref="A2:D2"/>
    <mergeCell ref="J1:S1"/>
    <mergeCell ref="J2:S2"/>
    <mergeCell ref="P5:P6"/>
    <mergeCell ref="Q5:Q6"/>
    <mergeCell ref="A4:Q4"/>
    <mergeCell ref="O5:O6"/>
    <mergeCell ref="B5:B6"/>
    <mergeCell ref="A5:A6"/>
    <mergeCell ref="K5:L5"/>
    <mergeCell ref="M5:N5"/>
    <mergeCell ref="E5:G5"/>
    <mergeCell ref="H5:J5"/>
    <mergeCell ref="C5:C6"/>
    <mergeCell ref="D5:D6"/>
  </mergeCells>
  <pageMargins left="0.24" right="0.16" top="0.36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A39"/>
  <sheetViews>
    <sheetView workbookViewId="0">
      <selection activeCell="W22" sqref="W22"/>
    </sheetView>
  </sheetViews>
  <sheetFormatPr defaultRowHeight="15"/>
  <cols>
    <col min="1" max="1" width="4.42578125" style="13" customWidth="1"/>
    <col min="2" max="2" width="2.5703125" style="323" customWidth="1"/>
    <col min="3" max="3" width="13.5703125" customWidth="1"/>
    <col min="4" max="4" width="11" customWidth="1"/>
    <col min="5" max="5" width="8.42578125" customWidth="1"/>
    <col min="6" max="6" width="4.7109375" customWidth="1"/>
    <col min="7" max="7" width="3" style="13" customWidth="1"/>
    <col min="8" max="8" width="5.42578125" style="13" customWidth="1"/>
    <col min="9" max="9" width="6.85546875" customWidth="1"/>
    <col min="10" max="10" width="6.140625" style="13" customWidth="1"/>
    <col min="11" max="11" width="5.42578125" style="13" customWidth="1"/>
    <col min="12" max="12" width="6" style="13" customWidth="1"/>
    <col min="13" max="13" width="6.42578125" style="13" customWidth="1"/>
    <col min="14" max="14" width="4.7109375" style="13" customWidth="1"/>
    <col min="15" max="15" width="5.85546875" customWidth="1"/>
    <col min="16" max="16" width="6" customWidth="1"/>
    <col min="17" max="17" width="5.140625" customWidth="1"/>
    <col min="18" max="18" width="10.85546875" customWidth="1"/>
    <col min="19" max="19" width="5.42578125" customWidth="1"/>
    <col min="20" max="20" width="11.7109375" customWidth="1"/>
    <col min="21" max="21" width="11.140625" customWidth="1"/>
  </cols>
  <sheetData>
    <row r="1" spans="1:24" s="14" customFormat="1" ht="21.75" customHeight="1">
      <c r="B1" s="1229" t="s">
        <v>0</v>
      </c>
      <c r="C1" s="1229"/>
      <c r="D1" s="1229"/>
      <c r="E1" s="1229"/>
      <c r="F1" s="109"/>
      <c r="G1" s="109"/>
      <c r="H1" s="109"/>
      <c r="I1" s="110"/>
      <c r="J1" s="110"/>
      <c r="K1" s="110"/>
      <c r="L1" s="110"/>
      <c r="M1" s="110"/>
      <c r="N1" s="110"/>
      <c r="O1" s="110"/>
      <c r="P1" s="109"/>
      <c r="Q1" s="1123" t="s">
        <v>1</v>
      </c>
      <c r="R1" s="1123"/>
      <c r="S1" s="1123"/>
      <c r="T1" s="1123"/>
      <c r="U1" s="1123"/>
      <c r="V1" s="112"/>
    </row>
    <row r="2" spans="1:24" s="14" customFormat="1" ht="17.25" customHeight="1">
      <c r="B2" s="1230" t="s">
        <v>154</v>
      </c>
      <c r="C2" s="1230"/>
      <c r="D2" s="1230"/>
      <c r="E2" s="1230"/>
      <c r="F2" s="109"/>
      <c r="G2" s="109"/>
      <c r="H2" s="109"/>
      <c r="I2" s="110"/>
      <c r="J2" s="110"/>
      <c r="K2" s="110"/>
      <c r="L2" s="110"/>
      <c r="M2" s="110"/>
      <c r="N2" s="110"/>
      <c r="O2" s="110"/>
      <c r="P2" s="109"/>
      <c r="Q2" s="1231" t="s">
        <v>155</v>
      </c>
      <c r="R2" s="1231"/>
      <c r="S2" s="1231"/>
      <c r="T2" s="1231"/>
      <c r="U2" s="1231"/>
      <c r="V2" s="127"/>
    </row>
    <row r="3" spans="1:24" s="13" customFormat="1" ht="9.75" customHeight="1">
      <c r="B3" s="792"/>
      <c r="C3" s="94"/>
      <c r="D3" s="94"/>
      <c r="E3" s="94"/>
      <c r="F3" s="98"/>
      <c r="G3" s="98"/>
      <c r="H3" s="98"/>
      <c r="I3" s="94"/>
      <c r="J3" s="94"/>
      <c r="K3" s="94"/>
      <c r="L3" s="94"/>
      <c r="M3" s="94"/>
      <c r="N3" s="94"/>
      <c r="O3" s="94"/>
      <c r="P3" s="98"/>
      <c r="Q3" s="94"/>
      <c r="R3" s="94"/>
      <c r="S3" s="98"/>
      <c r="T3" s="98"/>
      <c r="U3" s="98"/>
      <c r="V3" s="94"/>
    </row>
    <row r="4" spans="1:24" s="13" customFormat="1" ht="23.25" customHeight="1">
      <c r="B4" s="1231" t="s">
        <v>458</v>
      </c>
      <c r="C4" s="1231"/>
      <c r="D4" s="1231"/>
      <c r="E4" s="1231"/>
      <c r="F4" s="1231"/>
      <c r="G4" s="1231"/>
      <c r="H4" s="1231"/>
      <c r="I4" s="1231"/>
      <c r="J4" s="1231"/>
      <c r="K4" s="1231"/>
      <c r="L4" s="1231"/>
      <c r="M4" s="1231"/>
      <c r="N4" s="1231"/>
      <c r="O4" s="1231"/>
      <c r="P4" s="1231"/>
      <c r="Q4" s="1231"/>
      <c r="R4" s="1231"/>
      <c r="S4" s="1231"/>
      <c r="T4" s="1231"/>
      <c r="U4" s="1231"/>
      <c r="V4" s="291"/>
    </row>
    <row r="5" spans="1:24" s="133" customFormat="1" ht="15.75" customHeight="1">
      <c r="A5" s="1249" t="s">
        <v>51</v>
      </c>
      <c r="B5" s="1249" t="s">
        <v>51</v>
      </c>
      <c r="C5" s="1249" t="s">
        <v>6</v>
      </c>
      <c r="D5" s="1249" t="s">
        <v>7</v>
      </c>
      <c r="E5" s="1249" t="s">
        <v>8</v>
      </c>
      <c r="F5" s="1249" t="s">
        <v>9</v>
      </c>
      <c r="G5" s="1262" t="s">
        <v>209</v>
      </c>
      <c r="H5" s="1263"/>
      <c r="I5" s="1256" t="s">
        <v>210</v>
      </c>
      <c r="J5" s="1257"/>
      <c r="K5" s="1257"/>
      <c r="L5" s="1257"/>
      <c r="M5" s="1257"/>
      <c r="N5" s="1257"/>
      <c r="O5" s="1257"/>
      <c r="P5" s="1257"/>
      <c r="Q5" s="1257"/>
      <c r="R5" s="1258"/>
      <c r="S5" s="1249" t="s">
        <v>213</v>
      </c>
      <c r="T5" s="1249" t="s">
        <v>211</v>
      </c>
      <c r="U5" s="1249" t="s">
        <v>13</v>
      </c>
      <c r="V5" s="132"/>
      <c r="W5" s="132"/>
      <c r="X5" s="132"/>
    </row>
    <row r="6" spans="1:24" s="133" customFormat="1" ht="15.75" customHeight="1">
      <c r="A6" s="1250"/>
      <c r="B6" s="1250"/>
      <c r="C6" s="1250"/>
      <c r="D6" s="1250"/>
      <c r="E6" s="1250"/>
      <c r="F6" s="1250"/>
      <c r="G6" s="1264"/>
      <c r="H6" s="1265"/>
      <c r="I6" s="1256" t="s">
        <v>14</v>
      </c>
      <c r="J6" s="1257"/>
      <c r="K6" s="1258"/>
      <c r="L6" s="1256" t="s">
        <v>235</v>
      </c>
      <c r="M6" s="1257"/>
      <c r="N6" s="1258"/>
      <c r="O6" s="1256" t="s">
        <v>17</v>
      </c>
      <c r="P6" s="1257"/>
      <c r="Q6" s="1257"/>
      <c r="R6" s="1258"/>
      <c r="S6" s="1250"/>
      <c r="T6" s="1250"/>
      <c r="U6" s="1250"/>
      <c r="V6" s="132"/>
      <c r="W6" s="132"/>
      <c r="X6" s="132"/>
    </row>
    <row r="7" spans="1:24" s="133" customFormat="1" ht="18" customHeight="1">
      <c r="A7" s="1250"/>
      <c r="B7" s="1250"/>
      <c r="C7" s="1250"/>
      <c r="D7" s="1250"/>
      <c r="E7" s="1250"/>
      <c r="F7" s="1250"/>
      <c r="G7" s="1249" t="s">
        <v>232</v>
      </c>
      <c r="H7" s="1249" t="s">
        <v>9</v>
      </c>
      <c r="I7" s="1249" t="s">
        <v>20</v>
      </c>
      <c r="J7" s="1249" t="s">
        <v>21</v>
      </c>
      <c r="K7" s="1249" t="s">
        <v>214</v>
      </c>
      <c r="L7" s="1249" t="s">
        <v>20</v>
      </c>
      <c r="M7" s="1249" t="s">
        <v>21</v>
      </c>
      <c r="N7" s="1249" t="s">
        <v>234</v>
      </c>
      <c r="O7" s="1250" t="s">
        <v>21</v>
      </c>
      <c r="P7" s="1250" t="s">
        <v>233</v>
      </c>
      <c r="Q7" s="1250" t="s">
        <v>25</v>
      </c>
      <c r="R7" s="1250" t="s">
        <v>57</v>
      </c>
      <c r="S7" s="1250"/>
      <c r="T7" s="1250"/>
      <c r="U7" s="1250"/>
      <c r="V7" s="132"/>
      <c r="W7" s="132"/>
      <c r="X7" s="132"/>
    </row>
    <row r="8" spans="1:24" s="133" customFormat="1" ht="20.25" customHeight="1">
      <c r="A8" s="1251"/>
      <c r="B8" s="1251"/>
      <c r="C8" s="1251"/>
      <c r="D8" s="1251"/>
      <c r="E8" s="1251"/>
      <c r="F8" s="1251"/>
      <c r="G8" s="1251"/>
      <c r="H8" s="1251"/>
      <c r="I8" s="1251"/>
      <c r="J8" s="1251"/>
      <c r="K8" s="1251"/>
      <c r="L8" s="1251"/>
      <c r="M8" s="1251"/>
      <c r="N8" s="1251"/>
      <c r="O8" s="1251"/>
      <c r="P8" s="1251"/>
      <c r="Q8" s="1251"/>
      <c r="R8" s="1251"/>
      <c r="S8" s="1251"/>
      <c r="T8" s="1251"/>
      <c r="U8" s="1251"/>
      <c r="V8" s="132"/>
      <c r="W8" s="132"/>
      <c r="X8" s="132"/>
    </row>
    <row r="9" spans="1:24" ht="17.25" customHeight="1">
      <c r="B9" s="1254" t="s">
        <v>66</v>
      </c>
      <c r="C9" s="125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94"/>
      <c r="V9" s="740"/>
      <c r="W9" s="94"/>
    </row>
    <row r="10" spans="1:24" s="712" customFormat="1" ht="16.5" customHeight="1">
      <c r="A10" s="806">
        <v>1</v>
      </c>
      <c r="B10" s="802">
        <v>1</v>
      </c>
      <c r="C10" s="706" t="s">
        <v>68</v>
      </c>
      <c r="D10" s="707">
        <v>24329</v>
      </c>
      <c r="E10" s="708" t="s">
        <v>29</v>
      </c>
      <c r="F10" s="708">
        <v>4.0599999999999996</v>
      </c>
      <c r="G10" s="708">
        <v>11</v>
      </c>
      <c r="H10" s="709">
        <f>F10*G10%</f>
        <v>0.44659999999999994</v>
      </c>
      <c r="I10" s="708">
        <v>0.15</v>
      </c>
      <c r="J10" s="708">
        <v>0.2</v>
      </c>
      <c r="K10" s="708">
        <f>J10-I10</f>
        <v>5.0000000000000017E-2</v>
      </c>
      <c r="L10" s="708"/>
      <c r="M10" s="708"/>
      <c r="N10" s="708"/>
      <c r="O10" s="708">
        <v>70</v>
      </c>
      <c r="P10" s="708">
        <v>70</v>
      </c>
      <c r="Q10" s="710">
        <f>(F10+I10+H10)*P10%</f>
        <v>3.25962</v>
      </c>
      <c r="R10" s="707">
        <v>41609</v>
      </c>
      <c r="S10" s="710">
        <f>Q10+K10</f>
        <v>3.3096199999999998</v>
      </c>
      <c r="T10" s="707">
        <v>43435</v>
      </c>
      <c r="U10" s="706"/>
      <c r="V10" s="711"/>
      <c r="W10" s="711"/>
      <c r="X10" s="711"/>
    </row>
    <row r="11" spans="1:24" s="712" customFormat="1" ht="16.5" customHeight="1">
      <c r="A11" s="806">
        <v>2</v>
      </c>
      <c r="B11" s="802">
        <v>2</v>
      </c>
      <c r="C11" s="706" t="s">
        <v>70</v>
      </c>
      <c r="D11" s="707">
        <v>24111</v>
      </c>
      <c r="E11" s="708" t="s">
        <v>29</v>
      </c>
      <c r="F11" s="708">
        <v>4.0599999999999996</v>
      </c>
      <c r="G11" s="708">
        <v>9</v>
      </c>
      <c r="H11" s="709">
        <f t="shared" ref="H11:H20" si="0">F11*G11%</f>
        <v>0.36539999999999995</v>
      </c>
      <c r="I11" s="708"/>
      <c r="J11" s="708"/>
      <c r="K11" s="708"/>
      <c r="L11" s="708"/>
      <c r="M11" s="708"/>
      <c r="N11" s="708"/>
      <c r="O11" s="708">
        <v>70</v>
      </c>
      <c r="P11" s="708">
        <v>70</v>
      </c>
      <c r="Q11" s="710">
        <f t="shared" ref="Q11:Q26" si="1">(F11+I11+H11)*P11%</f>
        <v>3.0977799999999998</v>
      </c>
      <c r="R11" s="707">
        <v>41609</v>
      </c>
      <c r="S11" s="710">
        <f t="shared" ref="S11:S26" si="2">Q11+K11</f>
        <v>3.0977799999999998</v>
      </c>
      <c r="T11" s="707">
        <v>43435</v>
      </c>
      <c r="U11" s="706"/>
      <c r="V11" s="711"/>
      <c r="W11" s="711"/>
      <c r="X11" s="711"/>
    </row>
    <row r="12" spans="1:24" s="712" customFormat="1" ht="16.5" customHeight="1">
      <c r="A12" s="806">
        <v>3</v>
      </c>
      <c r="B12" s="803">
        <v>3</v>
      </c>
      <c r="C12" s="706" t="s">
        <v>71</v>
      </c>
      <c r="D12" s="707">
        <v>25721</v>
      </c>
      <c r="E12" s="708" t="s">
        <v>36</v>
      </c>
      <c r="F12" s="708">
        <v>3.86</v>
      </c>
      <c r="G12" s="708"/>
      <c r="H12" s="709"/>
      <c r="I12" s="708"/>
      <c r="J12" s="708"/>
      <c r="K12" s="708"/>
      <c r="L12" s="708"/>
      <c r="M12" s="708"/>
      <c r="N12" s="708"/>
      <c r="O12" s="708">
        <v>70</v>
      </c>
      <c r="P12" s="708">
        <v>70</v>
      </c>
      <c r="Q12" s="710">
        <f t="shared" si="1"/>
        <v>2.702</v>
      </c>
      <c r="R12" s="707">
        <v>41609</v>
      </c>
      <c r="S12" s="710">
        <f t="shared" si="2"/>
        <v>2.702</v>
      </c>
      <c r="T12" s="707">
        <v>43435</v>
      </c>
      <c r="U12" s="706"/>
      <c r="V12" s="711"/>
      <c r="W12" s="711"/>
      <c r="X12" s="711"/>
    </row>
    <row r="13" spans="1:24" s="712" customFormat="1" ht="16.5" customHeight="1">
      <c r="A13" s="806"/>
      <c r="B13" s="1266" t="s">
        <v>74</v>
      </c>
      <c r="C13" s="1267"/>
      <c r="D13" s="1268"/>
      <c r="E13" s="708"/>
      <c r="F13" s="708"/>
      <c r="G13" s="708"/>
      <c r="H13" s="709"/>
      <c r="I13" s="708"/>
      <c r="J13" s="708"/>
      <c r="K13" s="708"/>
      <c r="L13" s="708"/>
      <c r="M13" s="708"/>
      <c r="N13" s="708"/>
      <c r="O13" s="708"/>
      <c r="P13" s="708"/>
      <c r="Q13" s="710">
        <f t="shared" si="1"/>
        <v>0</v>
      </c>
      <c r="R13" s="708"/>
      <c r="S13" s="710"/>
      <c r="T13" s="708"/>
      <c r="U13" s="706"/>
      <c r="V13" s="711"/>
      <c r="W13" s="711"/>
      <c r="X13" s="711"/>
    </row>
    <row r="14" spans="1:24" s="712" customFormat="1" ht="16.5" customHeight="1">
      <c r="A14" s="806">
        <v>4</v>
      </c>
      <c r="B14" s="802">
        <v>1</v>
      </c>
      <c r="C14" s="706" t="s">
        <v>75</v>
      </c>
      <c r="D14" s="707">
        <v>23995</v>
      </c>
      <c r="E14" s="708" t="s">
        <v>29</v>
      </c>
      <c r="F14" s="708">
        <v>4.0599999999999996</v>
      </c>
      <c r="G14" s="708"/>
      <c r="H14" s="709"/>
      <c r="I14" s="708">
        <v>0.2</v>
      </c>
      <c r="J14" s="708"/>
      <c r="K14" s="708"/>
      <c r="L14" s="708"/>
      <c r="M14" s="708"/>
      <c r="N14" s="708"/>
      <c r="O14" s="708">
        <v>70</v>
      </c>
      <c r="P14" s="708">
        <v>70</v>
      </c>
      <c r="Q14" s="710">
        <f t="shared" si="1"/>
        <v>2.9819999999999998</v>
      </c>
      <c r="R14" s="707">
        <v>41548</v>
      </c>
      <c r="S14" s="710">
        <f t="shared" si="2"/>
        <v>2.9819999999999998</v>
      </c>
      <c r="T14" s="707">
        <v>43374</v>
      </c>
      <c r="U14" s="706"/>
      <c r="V14" s="711"/>
      <c r="W14" s="711"/>
      <c r="X14" s="711"/>
    </row>
    <row r="15" spans="1:24" s="712" customFormat="1" ht="16.5" customHeight="1">
      <c r="A15" s="806">
        <v>5</v>
      </c>
      <c r="B15" s="803">
        <v>2</v>
      </c>
      <c r="C15" s="706" t="s">
        <v>76</v>
      </c>
      <c r="D15" s="707">
        <v>26567</v>
      </c>
      <c r="E15" s="708" t="s">
        <v>29</v>
      </c>
      <c r="F15" s="708">
        <v>4.0599999999999996</v>
      </c>
      <c r="G15" s="708"/>
      <c r="H15" s="709"/>
      <c r="I15" s="708"/>
      <c r="J15" s="708"/>
      <c r="K15" s="708"/>
      <c r="L15" s="708"/>
      <c r="M15" s="708"/>
      <c r="N15" s="708"/>
      <c r="O15" s="708">
        <v>70</v>
      </c>
      <c r="P15" s="708">
        <v>70</v>
      </c>
      <c r="Q15" s="710">
        <f t="shared" si="1"/>
        <v>2.8419999999999996</v>
      </c>
      <c r="R15" s="707">
        <v>41548</v>
      </c>
      <c r="S15" s="710">
        <f t="shared" si="2"/>
        <v>2.8419999999999996</v>
      </c>
      <c r="T15" s="707">
        <v>43374</v>
      </c>
      <c r="U15" s="706"/>
      <c r="V15" s="711"/>
      <c r="W15" s="711"/>
      <c r="X15" s="711"/>
    </row>
    <row r="16" spans="1:24" s="712" customFormat="1" ht="16.5" customHeight="1">
      <c r="A16" s="806">
        <v>6</v>
      </c>
      <c r="B16" s="802">
        <v>3</v>
      </c>
      <c r="C16" s="706" t="s">
        <v>77</v>
      </c>
      <c r="D16" s="707">
        <v>28073</v>
      </c>
      <c r="E16" s="708" t="s">
        <v>38</v>
      </c>
      <c r="F16" s="708">
        <v>3.86</v>
      </c>
      <c r="G16" s="708"/>
      <c r="H16" s="709"/>
      <c r="I16" s="708"/>
      <c r="J16" s="708"/>
      <c r="K16" s="708"/>
      <c r="L16" s="708"/>
      <c r="M16" s="708"/>
      <c r="N16" s="708"/>
      <c r="O16" s="708">
        <v>70</v>
      </c>
      <c r="P16" s="708">
        <v>70</v>
      </c>
      <c r="Q16" s="710">
        <f t="shared" si="1"/>
        <v>2.702</v>
      </c>
      <c r="R16" s="707">
        <v>41548</v>
      </c>
      <c r="S16" s="710">
        <f t="shared" si="2"/>
        <v>2.702</v>
      </c>
      <c r="T16" s="707">
        <v>43374</v>
      </c>
      <c r="U16" s="706"/>
      <c r="V16" s="711"/>
      <c r="W16" s="711"/>
      <c r="X16" s="711"/>
    </row>
    <row r="17" spans="1:27" s="712" customFormat="1" ht="16.5" customHeight="1">
      <c r="A17" s="806">
        <v>7</v>
      </c>
      <c r="B17" s="803">
        <v>4</v>
      </c>
      <c r="C17" s="706" t="s">
        <v>114</v>
      </c>
      <c r="D17" s="707">
        <v>26035</v>
      </c>
      <c r="E17" s="708" t="s">
        <v>36</v>
      </c>
      <c r="F17" s="708">
        <v>3.86</v>
      </c>
      <c r="G17" s="708"/>
      <c r="H17" s="709"/>
      <c r="I17" s="708"/>
      <c r="J17" s="708"/>
      <c r="K17" s="708"/>
      <c r="L17" s="708"/>
      <c r="M17" s="708"/>
      <c r="N17" s="708"/>
      <c r="O17" s="708">
        <v>70</v>
      </c>
      <c r="P17" s="708">
        <v>70</v>
      </c>
      <c r="Q17" s="710">
        <f t="shared" si="1"/>
        <v>2.702</v>
      </c>
      <c r="R17" s="707">
        <v>41548</v>
      </c>
      <c r="S17" s="710">
        <f t="shared" si="2"/>
        <v>2.702</v>
      </c>
      <c r="T17" s="707">
        <v>43374</v>
      </c>
      <c r="U17" s="706"/>
      <c r="V17" s="711"/>
      <c r="W17" s="711"/>
      <c r="X17" s="711"/>
    </row>
    <row r="18" spans="1:27" s="712" customFormat="1" ht="16.5" customHeight="1">
      <c r="A18" s="806">
        <v>8</v>
      </c>
      <c r="B18" s="802">
        <v>5</v>
      </c>
      <c r="C18" s="706" t="s">
        <v>78</v>
      </c>
      <c r="D18" s="707">
        <v>27933</v>
      </c>
      <c r="E18" s="708" t="s">
        <v>29</v>
      </c>
      <c r="F18" s="708">
        <v>3.86</v>
      </c>
      <c r="G18" s="708"/>
      <c r="H18" s="709"/>
      <c r="I18" s="708"/>
      <c r="J18" s="708"/>
      <c r="K18" s="708"/>
      <c r="L18" s="708"/>
      <c r="M18" s="708"/>
      <c r="N18" s="708"/>
      <c r="O18" s="708">
        <v>70</v>
      </c>
      <c r="P18" s="708">
        <v>70</v>
      </c>
      <c r="Q18" s="710">
        <f t="shared" si="1"/>
        <v>2.702</v>
      </c>
      <c r="R18" s="707">
        <v>41548</v>
      </c>
      <c r="S18" s="710">
        <f t="shared" si="2"/>
        <v>2.702</v>
      </c>
      <c r="T18" s="707">
        <v>43374</v>
      </c>
      <c r="U18" s="706"/>
      <c r="V18" s="711"/>
      <c r="W18" s="711"/>
      <c r="X18" s="711"/>
    </row>
    <row r="19" spans="1:27" s="712" customFormat="1" ht="16.5" customHeight="1">
      <c r="A19" s="806"/>
      <c r="B19" s="1266" t="s">
        <v>90</v>
      </c>
      <c r="C19" s="1267"/>
      <c r="D19" s="1268"/>
      <c r="E19" s="708"/>
      <c r="F19" s="708"/>
      <c r="G19" s="708"/>
      <c r="H19" s="709"/>
      <c r="I19" s="708"/>
      <c r="J19" s="708"/>
      <c r="K19" s="708"/>
      <c r="L19" s="708" t="s">
        <v>69</v>
      </c>
      <c r="M19" s="708"/>
      <c r="N19" s="708"/>
      <c r="O19" s="708"/>
      <c r="P19" s="708"/>
      <c r="Q19" s="710">
        <f t="shared" si="1"/>
        <v>0</v>
      </c>
      <c r="R19" s="708"/>
      <c r="S19" s="710"/>
      <c r="T19" s="708"/>
      <c r="U19" s="706"/>
      <c r="V19" s="711"/>
      <c r="W19" s="711"/>
      <c r="X19" s="711"/>
    </row>
    <row r="20" spans="1:27" s="712" customFormat="1" ht="16.5" customHeight="1">
      <c r="A20" s="806">
        <v>9</v>
      </c>
      <c r="B20" s="802">
        <v>1</v>
      </c>
      <c r="C20" s="706" t="s">
        <v>91</v>
      </c>
      <c r="D20" s="707">
        <v>25339</v>
      </c>
      <c r="E20" s="708" t="s">
        <v>29</v>
      </c>
      <c r="F20" s="708">
        <v>4.0599999999999996</v>
      </c>
      <c r="G20" s="708">
        <v>6</v>
      </c>
      <c r="H20" s="709">
        <f t="shared" si="0"/>
        <v>0.24359999999999996</v>
      </c>
      <c r="I20" s="708">
        <v>0.2</v>
      </c>
      <c r="J20" s="708"/>
      <c r="K20" s="708"/>
      <c r="L20" s="708"/>
      <c r="M20" s="708"/>
      <c r="N20" s="708"/>
      <c r="O20" s="708">
        <v>70</v>
      </c>
      <c r="P20" s="708">
        <v>70</v>
      </c>
      <c r="Q20" s="710">
        <f t="shared" si="1"/>
        <v>3.1525199999999995</v>
      </c>
      <c r="R20" s="707">
        <v>41548</v>
      </c>
      <c r="S20" s="710">
        <f t="shared" si="2"/>
        <v>3.1525199999999995</v>
      </c>
      <c r="T20" s="707">
        <v>43374</v>
      </c>
      <c r="U20" s="706"/>
      <c r="V20" s="711"/>
      <c r="W20" s="711"/>
      <c r="X20" s="711"/>
    </row>
    <row r="21" spans="1:27" s="712" customFormat="1" ht="16.5" customHeight="1">
      <c r="A21" s="806">
        <v>10</v>
      </c>
      <c r="B21" s="803">
        <v>2</v>
      </c>
      <c r="C21" s="706" t="s">
        <v>93</v>
      </c>
      <c r="D21" s="707">
        <v>29461</v>
      </c>
      <c r="E21" s="708" t="s">
        <v>38</v>
      </c>
      <c r="F21" s="708">
        <v>3.06</v>
      </c>
      <c r="G21" s="708"/>
      <c r="H21" s="708"/>
      <c r="I21" s="708"/>
      <c r="J21" s="708"/>
      <c r="K21" s="708"/>
      <c r="L21" s="708"/>
      <c r="M21" s="708"/>
      <c r="N21" s="708"/>
      <c r="O21" s="708">
        <v>70</v>
      </c>
      <c r="P21" s="708">
        <v>70</v>
      </c>
      <c r="Q21" s="710">
        <f t="shared" si="1"/>
        <v>2.1419999999999999</v>
      </c>
      <c r="R21" s="707">
        <v>41548</v>
      </c>
      <c r="S21" s="710">
        <f t="shared" si="2"/>
        <v>2.1419999999999999</v>
      </c>
      <c r="T21" s="707">
        <v>43374</v>
      </c>
      <c r="U21" s="706"/>
      <c r="V21" s="711"/>
      <c r="W21" s="711"/>
      <c r="X21" s="711"/>
    </row>
    <row r="22" spans="1:27" s="712" customFormat="1" ht="16.5" customHeight="1">
      <c r="A22" s="806">
        <v>11</v>
      </c>
      <c r="B22" s="802">
        <v>3</v>
      </c>
      <c r="C22" s="706" t="s">
        <v>95</v>
      </c>
      <c r="D22" s="707">
        <v>31494</v>
      </c>
      <c r="E22" s="708" t="s">
        <v>34</v>
      </c>
      <c r="F22" s="708">
        <v>2.66</v>
      </c>
      <c r="G22" s="708"/>
      <c r="H22" s="708"/>
      <c r="I22" s="708"/>
      <c r="J22" s="708"/>
      <c r="K22" s="708"/>
      <c r="L22" s="708"/>
      <c r="M22" s="708"/>
      <c r="N22" s="708"/>
      <c r="O22" s="708">
        <v>70</v>
      </c>
      <c r="P22" s="708">
        <v>70</v>
      </c>
      <c r="Q22" s="710">
        <f t="shared" si="1"/>
        <v>1.8619999999999999</v>
      </c>
      <c r="R22" s="707">
        <v>41548</v>
      </c>
      <c r="S22" s="710">
        <f t="shared" si="2"/>
        <v>1.8619999999999999</v>
      </c>
      <c r="T22" s="707">
        <v>43374</v>
      </c>
      <c r="U22" s="706"/>
      <c r="V22" s="711"/>
      <c r="W22" s="711"/>
      <c r="X22" s="711"/>
    </row>
    <row r="23" spans="1:27" s="712" customFormat="1" ht="16.5" customHeight="1">
      <c r="A23" s="806"/>
      <c r="B23" s="1266" t="s">
        <v>215</v>
      </c>
      <c r="C23" s="1267"/>
      <c r="D23" s="1268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708"/>
      <c r="P23" s="708"/>
      <c r="Q23" s="710">
        <f t="shared" si="1"/>
        <v>0</v>
      </c>
      <c r="R23" s="708"/>
      <c r="S23" s="710"/>
      <c r="T23" s="708"/>
      <c r="U23" s="706"/>
      <c r="V23" s="711"/>
      <c r="W23" s="711"/>
      <c r="X23" s="711"/>
    </row>
    <row r="24" spans="1:27" s="712" customFormat="1" ht="16.5" customHeight="1">
      <c r="A24" s="806">
        <v>12</v>
      </c>
      <c r="B24" s="803">
        <v>1</v>
      </c>
      <c r="C24" s="706" t="s">
        <v>105</v>
      </c>
      <c r="D24" s="707">
        <v>27770</v>
      </c>
      <c r="E24" s="708" t="s">
        <v>36</v>
      </c>
      <c r="F24" s="708">
        <v>3.06</v>
      </c>
      <c r="G24" s="708"/>
      <c r="H24" s="708"/>
      <c r="I24" s="708"/>
      <c r="J24" s="708"/>
      <c r="K24" s="708"/>
      <c r="L24" s="708"/>
      <c r="M24" s="708"/>
      <c r="N24" s="708"/>
      <c r="O24" s="708">
        <v>70</v>
      </c>
      <c r="P24" s="708">
        <v>70</v>
      </c>
      <c r="Q24" s="710">
        <f t="shared" si="1"/>
        <v>2.1419999999999999</v>
      </c>
      <c r="R24" s="707">
        <v>41456</v>
      </c>
      <c r="S24" s="710">
        <f t="shared" si="2"/>
        <v>2.1419999999999999</v>
      </c>
      <c r="T24" s="707">
        <v>43282</v>
      </c>
      <c r="U24" s="706"/>
      <c r="V24" s="711"/>
      <c r="W24" s="711"/>
      <c r="X24" s="711"/>
    </row>
    <row r="25" spans="1:27" s="712" customFormat="1" ht="16.5" customHeight="1">
      <c r="A25" s="807"/>
      <c r="B25" s="1259" t="s">
        <v>303</v>
      </c>
      <c r="C25" s="1260"/>
      <c r="D25" s="1261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0">
        <f t="shared" si="1"/>
        <v>0</v>
      </c>
      <c r="R25" s="713"/>
      <c r="S25" s="714" t="s">
        <v>69</v>
      </c>
      <c r="T25" s="713"/>
      <c r="U25" s="706"/>
      <c r="V25" s="711"/>
      <c r="W25" s="711"/>
      <c r="X25" s="711"/>
    </row>
    <row r="26" spans="1:27" s="712" customFormat="1" ht="16.5" customHeight="1">
      <c r="A26" s="806">
        <v>13</v>
      </c>
      <c r="B26" s="803">
        <v>1</v>
      </c>
      <c r="C26" s="706" t="s">
        <v>105</v>
      </c>
      <c r="D26" s="707">
        <v>27770</v>
      </c>
      <c r="E26" s="708" t="s">
        <v>36</v>
      </c>
      <c r="F26" s="708">
        <v>3.06</v>
      </c>
      <c r="G26" s="708"/>
      <c r="H26" s="708"/>
      <c r="I26" s="708"/>
      <c r="J26" s="708"/>
      <c r="K26" s="708"/>
      <c r="L26" s="708"/>
      <c r="M26" s="708"/>
      <c r="N26" s="708"/>
      <c r="O26" s="708">
        <v>70</v>
      </c>
      <c r="P26" s="708">
        <v>70</v>
      </c>
      <c r="Q26" s="710">
        <f t="shared" si="1"/>
        <v>2.1419999999999999</v>
      </c>
      <c r="R26" s="707">
        <v>41456</v>
      </c>
      <c r="S26" s="710">
        <f t="shared" si="2"/>
        <v>2.1419999999999999</v>
      </c>
      <c r="T26" s="707">
        <v>43282</v>
      </c>
      <c r="U26" s="706"/>
      <c r="V26" s="711"/>
      <c r="W26" s="711"/>
      <c r="X26" s="711"/>
    </row>
    <row r="27" spans="1:27" s="718" customFormat="1" ht="18.75" customHeight="1">
      <c r="A27" s="808"/>
      <c r="B27" s="804"/>
      <c r="C27" s="715"/>
      <c r="D27" s="716"/>
      <c r="E27" s="717"/>
      <c r="F27" s="717">
        <f>SUM(F10:F24)</f>
        <v>44.519999999999996</v>
      </c>
      <c r="G27" s="717"/>
      <c r="H27" s="717"/>
      <c r="I27" s="717">
        <f>SUM(I10:I26)</f>
        <v>0.55000000000000004</v>
      </c>
      <c r="J27" s="717">
        <f>SUM(J10:J26)</f>
        <v>0.2</v>
      </c>
      <c r="K27" s="717">
        <f>SUM(K10:K26)</f>
        <v>5.0000000000000017E-2</v>
      </c>
      <c r="L27" s="717"/>
      <c r="M27" s="717"/>
      <c r="N27" s="717"/>
      <c r="O27" s="717"/>
      <c r="P27" s="717"/>
      <c r="Q27" s="779">
        <f>SUM(Q10:Q26)</f>
        <v>34.429919999999996</v>
      </c>
      <c r="R27" s="716"/>
      <c r="S27" s="779">
        <f>SUM(S10:S26)</f>
        <v>34.479919999999993</v>
      </c>
      <c r="T27" s="716"/>
      <c r="U27" s="715"/>
      <c r="V27" s="133"/>
      <c r="W27" s="133"/>
      <c r="X27" s="133"/>
    </row>
    <row r="28" spans="1:27" s="13" customFormat="1" ht="18">
      <c r="A28" s="805"/>
      <c r="B28" s="1206" t="s">
        <v>354</v>
      </c>
      <c r="C28" s="1206"/>
      <c r="D28" s="1206"/>
      <c r="E28" s="1206"/>
      <c r="F28" s="1206"/>
      <c r="G28" s="1206"/>
      <c r="H28" s="393"/>
      <c r="I28" s="393"/>
      <c r="J28" s="393"/>
      <c r="K28" s="393"/>
      <c r="L28" s="393"/>
      <c r="M28" s="393"/>
      <c r="N28" s="393"/>
      <c r="O28" s="393"/>
      <c r="P28" s="10"/>
      <c r="Q28" s="1253" t="s">
        <v>355</v>
      </c>
      <c r="R28" s="1253"/>
      <c r="S28" s="1253"/>
      <c r="T28" s="1253"/>
      <c r="U28" s="1253"/>
      <c r="V28" s="129"/>
      <c r="W28" s="129"/>
      <c r="X28" s="129"/>
      <c r="Y28" s="129"/>
      <c r="Z28" s="129"/>
      <c r="AA28" s="129"/>
    </row>
    <row r="29" spans="1:27" s="142" customFormat="1" ht="18">
      <c r="A29" s="712"/>
      <c r="B29" s="456"/>
      <c r="C29" s="1252" t="s">
        <v>217</v>
      </c>
      <c r="D29" s="1252"/>
      <c r="E29" s="1252"/>
      <c r="F29" s="1252"/>
      <c r="G29" s="1252"/>
      <c r="H29" s="1252"/>
      <c r="I29" s="129"/>
      <c r="J29" s="129"/>
      <c r="K29" s="129"/>
      <c r="L29" s="129"/>
      <c r="M29" s="129"/>
      <c r="N29" s="129"/>
      <c r="O29" s="1252" t="s">
        <v>42</v>
      </c>
      <c r="P29" s="1252"/>
      <c r="Q29" s="1252"/>
      <c r="R29" s="1252"/>
      <c r="S29" s="1252"/>
      <c r="T29" s="1252"/>
      <c r="U29" s="1252"/>
      <c r="V29" s="719"/>
      <c r="W29" s="719"/>
      <c r="X29" s="719"/>
      <c r="Y29" s="719"/>
      <c r="Z29" s="719"/>
      <c r="AA29" s="719"/>
    </row>
    <row r="30" spans="1:27" s="105" customFormat="1" ht="15.75">
      <c r="A30" s="712"/>
      <c r="B30" s="1191" t="s">
        <v>43</v>
      </c>
      <c r="C30" s="1191"/>
      <c r="D30" s="1191"/>
      <c r="E30" s="377"/>
      <c r="F30" s="1191" t="s">
        <v>44</v>
      </c>
      <c r="G30" s="1191"/>
      <c r="H30" s="1191"/>
      <c r="I30" s="1191"/>
      <c r="J30" s="1191"/>
      <c r="K30" s="377"/>
      <c r="L30" s="377"/>
      <c r="M30" s="377"/>
      <c r="N30" s="377"/>
      <c r="O30" s="377" t="s">
        <v>45</v>
      </c>
      <c r="P30" s="377"/>
      <c r="Q30" s="377"/>
      <c r="R30" s="377"/>
      <c r="T30" s="1191" t="s">
        <v>43</v>
      </c>
      <c r="U30" s="1191"/>
      <c r="V30" s="377"/>
    </row>
    <row r="31" spans="1:27" s="13" customFormat="1" ht="18">
      <c r="A31" s="718"/>
      <c r="B31" s="7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3" customFormat="1" ht="18">
      <c r="B32" s="74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s="13" customFormat="1" ht="18">
      <c r="B33" s="74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s="13" customFormat="1" ht="18">
      <c r="B34" s="1074" t="s">
        <v>46</v>
      </c>
      <c r="C34" s="1074"/>
      <c r="D34" s="1074"/>
      <c r="E34" s="11"/>
      <c r="F34" s="1239" t="s">
        <v>356</v>
      </c>
      <c r="G34" s="1239"/>
      <c r="H34" s="1239"/>
      <c r="I34" s="1239"/>
      <c r="J34" s="1239"/>
      <c r="K34" s="12"/>
      <c r="L34" s="12"/>
      <c r="M34" s="12"/>
      <c r="N34" s="12"/>
      <c r="O34" s="1074" t="s">
        <v>222</v>
      </c>
      <c r="P34" s="1074"/>
      <c r="Q34" s="1074"/>
      <c r="R34" s="12"/>
      <c r="S34" s="12"/>
      <c r="T34" s="1074" t="s">
        <v>49</v>
      </c>
      <c r="U34" s="1074"/>
      <c r="V34" s="12"/>
    </row>
    <row r="35" spans="2:27">
      <c r="B35" s="792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</row>
    <row r="36" spans="2:27">
      <c r="B36" s="792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</row>
    <row r="37" spans="2:27">
      <c r="B37" s="792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</row>
    <row r="38" spans="2:27">
      <c r="B38" s="792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</row>
    <row r="39" spans="2:27">
      <c r="B39" s="792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</sheetData>
  <mergeCells count="47">
    <mergeCell ref="B23:D23"/>
    <mergeCell ref="B19:D19"/>
    <mergeCell ref="C5:C8"/>
    <mergeCell ref="D5:D8"/>
    <mergeCell ref="G7:G8"/>
    <mergeCell ref="B13:D13"/>
    <mergeCell ref="E5:E8"/>
    <mergeCell ref="B30:D30"/>
    <mergeCell ref="B34:D34"/>
    <mergeCell ref="O34:Q34"/>
    <mergeCell ref="S5:S8"/>
    <mergeCell ref="T5:T8"/>
    <mergeCell ref="J7:J8"/>
    <mergeCell ref="L6:N6"/>
    <mergeCell ref="I5:R5"/>
    <mergeCell ref="Q7:Q8"/>
    <mergeCell ref="P7:P8"/>
    <mergeCell ref="I6:K6"/>
    <mergeCell ref="I7:I8"/>
    <mergeCell ref="O7:O8"/>
    <mergeCell ref="B25:D25"/>
    <mergeCell ref="G5:H6"/>
    <mergeCell ref="B5:B8"/>
    <mergeCell ref="O6:R6"/>
    <mergeCell ref="T30:U30"/>
    <mergeCell ref="T34:U34"/>
    <mergeCell ref="F30:J30"/>
    <mergeCell ref="F34:J34"/>
    <mergeCell ref="U5:U8"/>
    <mergeCell ref="F5:F8"/>
    <mergeCell ref="H7:H8"/>
    <mergeCell ref="A5:A8"/>
    <mergeCell ref="Q1:U1"/>
    <mergeCell ref="Q2:U2"/>
    <mergeCell ref="O29:U29"/>
    <mergeCell ref="B28:G28"/>
    <mergeCell ref="C29:H29"/>
    <mergeCell ref="Q28:U28"/>
    <mergeCell ref="B1:E1"/>
    <mergeCell ref="B2:E2"/>
    <mergeCell ref="B9:C9"/>
    <mergeCell ref="N7:N8"/>
    <mergeCell ref="L7:L8"/>
    <mergeCell ref="M7:M8"/>
    <mergeCell ref="K7:K8"/>
    <mergeCell ref="R7:R8"/>
    <mergeCell ref="B4:U4"/>
  </mergeCells>
  <pageMargins left="0.24" right="0.16" top="0.2" bottom="0.2" header="0.2" footer="0.2"/>
  <pageSetup paperSize="9" pageOrder="overThenDown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9"/>
  <sheetViews>
    <sheetView topLeftCell="A4" workbookViewId="0">
      <selection activeCell="W12" sqref="W12"/>
    </sheetView>
  </sheetViews>
  <sheetFormatPr defaultRowHeight="15"/>
  <cols>
    <col min="1" max="1" width="3.42578125" customWidth="1"/>
    <col min="2" max="2" width="17.5703125" customWidth="1"/>
    <col min="3" max="3" width="12" customWidth="1"/>
    <col min="4" max="4" width="9" customWidth="1"/>
    <col min="5" max="5" width="4.5703125" customWidth="1"/>
    <col min="6" max="7" width="3.5703125" customWidth="1"/>
    <col min="8" max="10" width="4.7109375" customWidth="1"/>
    <col min="11" max="11" width="5.7109375" customWidth="1"/>
    <col min="12" max="12" width="5.85546875" customWidth="1"/>
    <col min="13" max="13" width="5.5703125" customWidth="1"/>
    <col min="14" max="14" width="4.42578125" customWidth="1"/>
    <col min="15" max="15" width="6.28515625" customWidth="1"/>
    <col min="16" max="16" width="7.5703125" customWidth="1"/>
    <col min="17" max="17" width="6.85546875" customWidth="1"/>
    <col min="18" max="18" width="6.85546875" style="13" customWidth="1"/>
    <col min="19" max="19" width="14.85546875" customWidth="1"/>
    <col min="20" max="20" width="13.7109375" customWidth="1"/>
  </cols>
  <sheetData>
    <row r="1" spans="1:20" s="13" customFormat="1" ht="18.75">
      <c r="A1" s="1187" t="s">
        <v>0</v>
      </c>
      <c r="B1" s="1187"/>
      <c r="C1" s="1187"/>
      <c r="D1" s="1187"/>
      <c r="E1" s="134"/>
      <c r="F1" s="134"/>
      <c r="G1" s="134"/>
      <c r="H1" s="134"/>
      <c r="I1" s="134"/>
      <c r="J1" s="134"/>
      <c r="K1" s="1121" t="s">
        <v>236</v>
      </c>
      <c r="L1" s="1121"/>
      <c r="M1" s="1121"/>
      <c r="N1" s="1121"/>
      <c r="O1" s="1121"/>
      <c r="P1" s="1121"/>
      <c r="Q1" s="1121"/>
      <c r="R1" s="1121"/>
      <c r="S1" s="1121"/>
      <c r="T1" s="1121"/>
    </row>
    <row r="2" spans="1:20" s="13" customFormat="1" ht="18.75">
      <c r="A2" s="1121" t="s">
        <v>42</v>
      </c>
      <c r="B2" s="1121"/>
      <c r="C2" s="1121"/>
      <c r="D2" s="1121"/>
      <c r="E2" s="134"/>
      <c r="F2" s="134"/>
      <c r="G2" s="134"/>
      <c r="H2" s="134"/>
      <c r="I2" s="134"/>
      <c r="J2" s="134"/>
      <c r="K2" s="1188" t="s">
        <v>237</v>
      </c>
      <c r="L2" s="1188"/>
      <c r="M2" s="1188"/>
      <c r="N2" s="1188"/>
      <c r="O2" s="1188"/>
      <c r="P2" s="1188"/>
      <c r="Q2" s="1188"/>
      <c r="R2" s="1188"/>
      <c r="S2" s="1188"/>
      <c r="T2" s="1188"/>
    </row>
    <row r="3" spans="1:20" s="13" customFormat="1" ht="14.25" customHeight="1">
      <c r="A3" s="134"/>
      <c r="B3" s="134"/>
      <c r="C3" s="134"/>
      <c r="D3" s="134"/>
      <c r="E3" s="134"/>
      <c r="F3" s="134"/>
      <c r="G3" s="134"/>
      <c r="H3" s="292" t="s">
        <v>260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s="13" customFormat="1" ht="14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0" s="13" customFormat="1" ht="17.25" customHeight="1">
      <c r="A5" s="1121" t="s">
        <v>248</v>
      </c>
      <c r="B5" s="1121"/>
      <c r="C5" s="1121"/>
      <c r="D5" s="1121"/>
      <c r="E5" s="1121"/>
      <c r="F5" s="1121"/>
      <c r="G5" s="1121"/>
      <c r="H5" s="1121"/>
      <c r="I5" s="1121"/>
      <c r="J5" s="1121"/>
      <c r="K5" s="1121"/>
      <c r="L5" s="1121"/>
      <c r="M5" s="1121"/>
      <c r="N5" s="1121"/>
      <c r="O5" s="1121"/>
      <c r="P5" s="1121"/>
      <c r="Q5" s="1121"/>
      <c r="R5" s="1121"/>
      <c r="S5" s="1121"/>
      <c r="T5" s="1121"/>
    </row>
    <row r="6" spans="1:20" s="13" customFormat="1" ht="14.2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1:20" s="130" customFormat="1" ht="23.25" customHeight="1">
      <c r="A7" s="1115" t="s">
        <v>51</v>
      </c>
      <c r="B7" s="1115" t="s">
        <v>6</v>
      </c>
      <c r="C7" s="1115" t="s">
        <v>7</v>
      </c>
      <c r="D7" s="1118" t="s">
        <v>8</v>
      </c>
      <c r="E7" s="1118" t="s">
        <v>9</v>
      </c>
      <c r="F7" s="1130" t="s">
        <v>238</v>
      </c>
      <c r="G7" s="1131"/>
      <c r="H7" s="1131"/>
      <c r="I7" s="1131"/>
      <c r="J7" s="1131"/>
      <c r="K7" s="1131"/>
      <c r="L7" s="1131"/>
      <c r="M7" s="1131"/>
      <c r="N7" s="1131"/>
      <c r="O7" s="1131"/>
      <c r="P7" s="1132"/>
      <c r="Q7" s="1115" t="s">
        <v>246</v>
      </c>
      <c r="R7" s="1115" t="s">
        <v>161</v>
      </c>
      <c r="S7" s="1115" t="s">
        <v>247</v>
      </c>
      <c r="T7" s="1115" t="s">
        <v>13</v>
      </c>
    </row>
    <row r="8" spans="1:20" s="130" customFormat="1" ht="33" customHeight="1">
      <c r="A8" s="1116"/>
      <c r="B8" s="1116"/>
      <c r="C8" s="1116"/>
      <c r="D8" s="1119"/>
      <c r="E8" s="1119"/>
      <c r="F8" s="1117" t="s">
        <v>151</v>
      </c>
      <c r="G8" s="1117"/>
      <c r="H8" s="1124" t="s">
        <v>14</v>
      </c>
      <c r="I8" s="1124" t="s">
        <v>15</v>
      </c>
      <c r="J8" s="1133" t="s">
        <v>16</v>
      </c>
      <c r="K8" s="1133"/>
      <c r="L8" s="1133" t="s">
        <v>17</v>
      </c>
      <c r="M8" s="1133"/>
      <c r="N8" s="1124" t="s">
        <v>212</v>
      </c>
      <c r="O8" s="1124" t="s">
        <v>239</v>
      </c>
      <c r="P8" s="1124" t="s">
        <v>150</v>
      </c>
      <c r="Q8" s="1116"/>
      <c r="R8" s="1116"/>
      <c r="S8" s="1116"/>
      <c r="T8" s="1116"/>
    </row>
    <row r="9" spans="1:20" s="130" customFormat="1" ht="33" customHeight="1">
      <c r="A9" s="1117"/>
      <c r="B9" s="1117"/>
      <c r="C9" s="1117"/>
      <c r="D9" s="1120"/>
      <c r="E9" s="1120"/>
      <c r="F9" s="155" t="s">
        <v>24</v>
      </c>
      <c r="G9" s="155" t="s">
        <v>9</v>
      </c>
      <c r="H9" s="1120"/>
      <c r="I9" s="1120"/>
      <c r="J9" s="155" t="s">
        <v>24</v>
      </c>
      <c r="K9" s="155" t="s">
        <v>9</v>
      </c>
      <c r="L9" s="155" t="s">
        <v>24</v>
      </c>
      <c r="M9" s="155" t="s">
        <v>9</v>
      </c>
      <c r="N9" s="1120"/>
      <c r="O9" s="1120"/>
      <c r="P9" s="1120"/>
      <c r="Q9" s="1117"/>
      <c r="R9" s="1117"/>
      <c r="S9" s="1117"/>
      <c r="T9" s="1117"/>
    </row>
    <row r="10" spans="1:20" s="142" customFormat="1" ht="19.5" customHeight="1">
      <c r="A10" s="150">
        <v>1</v>
      </c>
      <c r="B10" s="151" t="s">
        <v>240</v>
      </c>
      <c r="C10" s="152">
        <v>33880</v>
      </c>
      <c r="D10" s="153" t="s">
        <v>31</v>
      </c>
      <c r="E10" s="154">
        <v>2.34</v>
      </c>
      <c r="F10" s="150"/>
      <c r="G10" s="150"/>
      <c r="H10" s="153"/>
      <c r="I10" s="153">
        <v>0.3</v>
      </c>
      <c r="J10" s="153">
        <v>40</v>
      </c>
      <c r="K10" s="153">
        <f>E10*J10%</f>
        <v>0.93599999999999994</v>
      </c>
      <c r="L10" s="150"/>
      <c r="M10" s="150"/>
      <c r="N10" s="153"/>
      <c r="O10" s="153"/>
      <c r="P10" s="153"/>
      <c r="Q10" s="150">
        <f>P10+O10+N10+M10+K10+I10+E10</f>
        <v>3.5759999999999996</v>
      </c>
      <c r="R10" s="150">
        <f>E10*24%</f>
        <v>0.56159999999999999</v>
      </c>
      <c r="S10" s="159">
        <f>(R10+Q10)*1390000</f>
        <v>5751264</v>
      </c>
      <c r="T10" s="153"/>
    </row>
    <row r="11" spans="1:20" s="142" customFormat="1" ht="30.75" customHeight="1">
      <c r="A11" s="135">
        <v>2</v>
      </c>
      <c r="B11" s="136" t="s">
        <v>241</v>
      </c>
      <c r="C11" s="137">
        <v>34255</v>
      </c>
      <c r="D11" s="139" t="s">
        <v>31</v>
      </c>
      <c r="E11" s="147">
        <v>2.34</v>
      </c>
      <c r="F11" s="135"/>
      <c r="G11" s="135"/>
      <c r="H11" s="139"/>
      <c r="I11" s="139">
        <v>0.3</v>
      </c>
      <c r="J11" s="153">
        <v>40</v>
      </c>
      <c r="K11" s="153">
        <f t="shared" ref="K11:K18" si="0">E11*J11%</f>
        <v>0.93599999999999994</v>
      </c>
      <c r="L11" s="135"/>
      <c r="M11" s="135"/>
      <c r="N11" s="139"/>
      <c r="O11" s="139"/>
      <c r="P11" s="139"/>
      <c r="Q11" s="150">
        <f t="shared" ref="Q11:Q19" si="1">P11+O11+N11+M11+K11+I11+E11</f>
        <v>3.5759999999999996</v>
      </c>
      <c r="R11" s="150">
        <f t="shared" ref="R11:R19" si="2">E11*24%</f>
        <v>0.56159999999999999</v>
      </c>
      <c r="S11" s="159">
        <f t="shared" ref="S11:S19" si="3">(R11+Q11)*1390000</f>
        <v>5751264</v>
      </c>
      <c r="T11" s="139"/>
    </row>
    <row r="12" spans="1:20" s="142" customFormat="1" ht="19.5" customHeight="1">
      <c r="A12" s="135">
        <v>4</v>
      </c>
      <c r="B12" s="136" t="s">
        <v>242</v>
      </c>
      <c r="C12" s="137">
        <v>35288</v>
      </c>
      <c r="D12" s="140" t="s">
        <v>165</v>
      </c>
      <c r="E12" s="147">
        <v>2.34</v>
      </c>
      <c r="F12" s="135"/>
      <c r="G12" s="138"/>
      <c r="H12" s="139"/>
      <c r="I12" s="139">
        <v>0.3</v>
      </c>
      <c r="J12" s="153">
        <v>40</v>
      </c>
      <c r="K12" s="153">
        <f t="shared" si="0"/>
        <v>0.93599999999999994</v>
      </c>
      <c r="L12" s="143"/>
      <c r="M12" s="138"/>
      <c r="N12" s="143"/>
      <c r="O12" s="143"/>
      <c r="P12" s="143"/>
      <c r="Q12" s="150">
        <f t="shared" si="1"/>
        <v>3.5759999999999996</v>
      </c>
      <c r="R12" s="150">
        <f t="shared" si="2"/>
        <v>0.56159999999999999</v>
      </c>
      <c r="S12" s="159">
        <f t="shared" si="3"/>
        <v>5751264</v>
      </c>
      <c r="T12" s="138"/>
    </row>
    <row r="13" spans="1:20" s="142" customFormat="1" ht="19.5" customHeight="1">
      <c r="A13" s="135">
        <v>5</v>
      </c>
      <c r="B13" s="136" t="s">
        <v>243</v>
      </c>
      <c r="C13" s="137">
        <v>32752</v>
      </c>
      <c r="D13" s="140">
        <v>2.0070000000000001</v>
      </c>
      <c r="E13" s="147">
        <v>2.34</v>
      </c>
      <c r="F13" s="144"/>
      <c r="G13" s="144"/>
      <c r="H13" s="139"/>
      <c r="I13" s="139">
        <v>0.3</v>
      </c>
      <c r="J13" s="139"/>
      <c r="K13" s="153">
        <f>E13*J13%</f>
        <v>0</v>
      </c>
      <c r="L13" s="144"/>
      <c r="M13" s="144"/>
      <c r="N13" s="144">
        <v>0.2</v>
      </c>
      <c r="O13" s="144"/>
      <c r="P13" s="144"/>
      <c r="Q13" s="150">
        <f>P13+O13+N13+M13+K13+I13+E13</f>
        <v>2.84</v>
      </c>
      <c r="R13" s="150">
        <f t="shared" si="2"/>
        <v>0.56159999999999999</v>
      </c>
      <c r="S13" s="159">
        <f t="shared" si="3"/>
        <v>4728224</v>
      </c>
      <c r="T13" s="146" t="s">
        <v>463</v>
      </c>
    </row>
    <row r="14" spans="1:20" s="142" customFormat="1" ht="19.5" customHeight="1">
      <c r="A14" s="135">
        <v>6</v>
      </c>
      <c r="B14" s="136" t="s">
        <v>244</v>
      </c>
      <c r="C14" s="137">
        <v>34520</v>
      </c>
      <c r="D14" s="140" t="s">
        <v>36</v>
      </c>
      <c r="E14" s="148">
        <v>2.06</v>
      </c>
      <c r="F14" s="144"/>
      <c r="G14" s="144"/>
      <c r="H14" s="139"/>
      <c r="I14" s="139">
        <v>0.3</v>
      </c>
      <c r="J14" s="153">
        <v>40</v>
      </c>
      <c r="K14" s="153">
        <f t="shared" si="0"/>
        <v>0.82400000000000007</v>
      </c>
      <c r="L14" s="144"/>
      <c r="M14" s="144"/>
      <c r="N14" s="146">
        <v>0.2</v>
      </c>
      <c r="O14" s="146">
        <v>0.4</v>
      </c>
      <c r="P14" s="146">
        <v>0.1</v>
      </c>
      <c r="Q14" s="150">
        <f t="shared" si="1"/>
        <v>3.8840000000000003</v>
      </c>
      <c r="R14" s="150">
        <f t="shared" si="2"/>
        <v>0.49440000000000001</v>
      </c>
      <c r="S14" s="159">
        <f t="shared" si="3"/>
        <v>6085976</v>
      </c>
      <c r="T14" s="144"/>
    </row>
    <row r="15" spans="1:20" s="142" customFormat="1" ht="19.5" customHeight="1">
      <c r="A15" s="135">
        <v>7</v>
      </c>
      <c r="B15" s="136" t="s">
        <v>245</v>
      </c>
      <c r="C15" s="137">
        <v>34579</v>
      </c>
      <c r="D15" s="140" t="s">
        <v>36</v>
      </c>
      <c r="E15" s="148">
        <v>2.06</v>
      </c>
      <c r="F15" s="144"/>
      <c r="G15" s="144"/>
      <c r="H15" s="139"/>
      <c r="I15" s="139">
        <v>0.3</v>
      </c>
      <c r="J15" s="153">
        <v>40</v>
      </c>
      <c r="K15" s="153">
        <f t="shared" si="0"/>
        <v>0.82400000000000007</v>
      </c>
      <c r="L15" s="144"/>
      <c r="M15" s="144"/>
      <c r="N15" s="146">
        <v>0.2</v>
      </c>
      <c r="O15" s="146">
        <v>0.4</v>
      </c>
      <c r="P15" s="146">
        <v>0.1</v>
      </c>
      <c r="Q15" s="150">
        <f t="shared" si="1"/>
        <v>3.8840000000000003</v>
      </c>
      <c r="R15" s="150">
        <f t="shared" si="2"/>
        <v>0.49440000000000001</v>
      </c>
      <c r="S15" s="159">
        <f t="shared" si="3"/>
        <v>6085976</v>
      </c>
      <c r="T15" s="144"/>
    </row>
    <row r="16" spans="1:20" s="142" customFormat="1" ht="19.5" customHeight="1">
      <c r="A16" s="135">
        <v>3</v>
      </c>
      <c r="B16" s="136" t="s">
        <v>98</v>
      </c>
      <c r="C16" s="137">
        <v>34153</v>
      </c>
      <c r="D16" s="140" t="s">
        <v>31</v>
      </c>
      <c r="E16" s="147">
        <v>2.34</v>
      </c>
      <c r="F16" s="135"/>
      <c r="G16" s="138"/>
      <c r="H16" s="139"/>
      <c r="I16" s="139">
        <v>0.4</v>
      </c>
      <c r="J16" s="139">
        <v>70</v>
      </c>
      <c r="K16" s="153">
        <f>E16*J16%</f>
        <v>1.6379999999999999</v>
      </c>
      <c r="L16" s="156">
        <v>70</v>
      </c>
      <c r="M16" s="156">
        <f>E16*L16%</f>
        <v>1.6379999999999999</v>
      </c>
      <c r="N16" s="135"/>
      <c r="O16" s="135"/>
      <c r="P16" s="135"/>
      <c r="Q16" s="150">
        <f>P16+O16+N16+M16+K16+I16+E16</f>
        <v>6.016</v>
      </c>
      <c r="R16" s="150">
        <f t="shared" si="2"/>
        <v>0.56159999999999999</v>
      </c>
      <c r="S16" s="159">
        <f t="shared" si="3"/>
        <v>9142864</v>
      </c>
      <c r="T16" s="704" t="s">
        <v>306</v>
      </c>
    </row>
    <row r="17" spans="1:22" s="142" customFormat="1" ht="19.5" customHeight="1">
      <c r="A17" s="135">
        <v>8</v>
      </c>
      <c r="B17" s="136" t="s">
        <v>88</v>
      </c>
      <c r="C17" s="137">
        <v>34682</v>
      </c>
      <c r="D17" s="139" t="s">
        <v>38</v>
      </c>
      <c r="E17" s="148">
        <v>2.06</v>
      </c>
      <c r="F17" s="145"/>
      <c r="G17" s="145"/>
      <c r="H17" s="149"/>
      <c r="I17" s="149">
        <v>0.4</v>
      </c>
      <c r="J17" s="149">
        <v>70</v>
      </c>
      <c r="K17" s="153">
        <f t="shared" si="0"/>
        <v>1.4419999999999999</v>
      </c>
      <c r="L17" s="156">
        <v>70</v>
      </c>
      <c r="M17" s="156">
        <f>E17*L17%</f>
        <v>1.4419999999999999</v>
      </c>
      <c r="N17" s="156"/>
      <c r="O17" s="156"/>
      <c r="P17" s="156"/>
      <c r="Q17" s="150">
        <f t="shared" si="1"/>
        <v>5.3439999999999994</v>
      </c>
      <c r="R17" s="150">
        <f t="shared" si="2"/>
        <v>0.49440000000000001</v>
      </c>
      <c r="S17" s="159">
        <f t="shared" si="3"/>
        <v>8115375.9999999991</v>
      </c>
      <c r="T17" s="704" t="s">
        <v>307</v>
      </c>
    </row>
    <row r="18" spans="1:22" s="142" customFormat="1" ht="19.5" customHeight="1">
      <c r="A18" s="135">
        <v>9</v>
      </c>
      <c r="B18" s="136" t="s">
        <v>119</v>
      </c>
      <c r="C18" s="137">
        <v>30837</v>
      </c>
      <c r="D18" s="139" t="s">
        <v>29</v>
      </c>
      <c r="E18" s="148">
        <v>1.86</v>
      </c>
      <c r="F18" s="144"/>
      <c r="G18" s="144"/>
      <c r="H18" s="149"/>
      <c r="I18" s="149">
        <v>0.4</v>
      </c>
      <c r="J18" s="149">
        <v>70</v>
      </c>
      <c r="K18" s="153">
        <f t="shared" si="0"/>
        <v>1.302</v>
      </c>
      <c r="L18" s="156">
        <v>70</v>
      </c>
      <c r="M18" s="156">
        <f>E18*L18%</f>
        <v>1.302</v>
      </c>
      <c r="N18" s="144"/>
      <c r="O18" s="144"/>
      <c r="P18" s="144"/>
      <c r="Q18" s="150">
        <f t="shared" si="1"/>
        <v>4.8639999999999999</v>
      </c>
      <c r="R18" s="150">
        <f t="shared" si="2"/>
        <v>0.44640000000000002</v>
      </c>
      <c r="S18" s="159">
        <f t="shared" si="3"/>
        <v>7381455.9999999991</v>
      </c>
      <c r="T18" s="704" t="s">
        <v>308</v>
      </c>
    </row>
    <row r="19" spans="1:22" s="142" customFormat="1" ht="19.5" customHeight="1">
      <c r="A19" s="135">
        <v>10</v>
      </c>
      <c r="B19" s="136" t="s">
        <v>107</v>
      </c>
      <c r="C19" s="137">
        <v>33811</v>
      </c>
      <c r="D19" s="139" t="s">
        <v>34</v>
      </c>
      <c r="E19" s="148">
        <v>2.06</v>
      </c>
      <c r="F19" s="144"/>
      <c r="G19" s="144"/>
      <c r="H19" s="149"/>
      <c r="I19" s="149">
        <v>0.3</v>
      </c>
      <c r="J19" s="149">
        <v>40</v>
      </c>
      <c r="K19" s="139">
        <f>E19*J19%</f>
        <v>0.82400000000000007</v>
      </c>
      <c r="L19" s="156"/>
      <c r="M19" s="156">
        <f>E19*L19%</f>
        <v>0</v>
      </c>
      <c r="N19" s="144"/>
      <c r="O19" s="144"/>
      <c r="P19" s="144"/>
      <c r="Q19" s="150">
        <f t="shared" si="1"/>
        <v>3.1840000000000002</v>
      </c>
      <c r="R19" s="150">
        <f t="shared" si="2"/>
        <v>0.49440000000000001</v>
      </c>
      <c r="S19" s="159">
        <f t="shared" si="3"/>
        <v>5112976.0000000009</v>
      </c>
      <c r="T19" s="705" t="s">
        <v>309</v>
      </c>
    </row>
    <row r="20" spans="1:22" s="340" customFormat="1" ht="19.5" customHeight="1">
      <c r="A20" s="330"/>
      <c r="B20" s="331"/>
      <c r="C20" s="332"/>
      <c r="D20" s="333"/>
      <c r="E20" s="157">
        <f>SUM(E10:E19)</f>
        <v>21.799999999999997</v>
      </c>
      <c r="F20" s="334"/>
      <c r="G20" s="334"/>
      <c r="H20" s="158"/>
      <c r="I20" s="158">
        <f t="shared" ref="I20:S20" si="4">SUM(I10:I19)</f>
        <v>3.3</v>
      </c>
      <c r="J20" s="158">
        <f t="shared" si="4"/>
        <v>450</v>
      </c>
      <c r="K20" s="333">
        <f t="shared" si="4"/>
        <v>9.661999999999999</v>
      </c>
      <c r="L20" s="335">
        <f t="shared" si="4"/>
        <v>210</v>
      </c>
      <c r="M20" s="335">
        <f t="shared" si="4"/>
        <v>4.3819999999999997</v>
      </c>
      <c r="N20" s="335">
        <f t="shared" si="4"/>
        <v>0.60000000000000009</v>
      </c>
      <c r="O20" s="335">
        <f t="shared" si="4"/>
        <v>0.8</v>
      </c>
      <c r="P20" s="335">
        <f t="shared" si="4"/>
        <v>0.2</v>
      </c>
      <c r="Q20" s="336">
        <f t="shared" si="4"/>
        <v>40.743999999999993</v>
      </c>
      <c r="R20" s="337">
        <f>SUM(R10:R19)</f>
        <v>5.2319999999999993</v>
      </c>
      <c r="S20" s="338">
        <f t="shared" si="4"/>
        <v>63906640</v>
      </c>
      <c r="T20" s="334"/>
      <c r="U20" s="339"/>
    </row>
    <row r="21" spans="1:22" s="329" customFormat="1" ht="16.5" customHeight="1">
      <c r="A21" s="375"/>
      <c r="B21" s="1125" t="s">
        <v>370</v>
      </c>
      <c r="C21" s="1125"/>
      <c r="D21" s="1125"/>
      <c r="E21" s="374"/>
      <c r="F21" s="375"/>
      <c r="G21" s="374"/>
      <c r="H21" s="375"/>
      <c r="I21" s="374"/>
      <c r="M21" s="1125" t="s">
        <v>216</v>
      </c>
      <c r="N21" s="1125"/>
      <c r="O21" s="1125"/>
      <c r="P21" s="1125"/>
      <c r="Q21" s="1125"/>
      <c r="R21" s="1125"/>
      <c r="S21" s="1125"/>
      <c r="T21" s="1125"/>
      <c r="U21" s="389"/>
    </row>
    <row r="22" spans="1:22" s="113" customFormat="1" ht="21" customHeight="1">
      <c r="A22" s="1123" t="s">
        <v>217</v>
      </c>
      <c r="B22" s="1123"/>
      <c r="C22" s="1123"/>
      <c r="D22" s="1123"/>
      <c r="E22" s="1123"/>
      <c r="F22" s="1123"/>
      <c r="G22" s="111"/>
      <c r="H22" s="112"/>
      <c r="I22" s="111"/>
      <c r="M22" s="1123" t="s">
        <v>42</v>
      </c>
      <c r="N22" s="1123"/>
      <c r="O22" s="1123"/>
      <c r="P22" s="1123"/>
      <c r="Q22" s="1123"/>
      <c r="R22" s="1123"/>
      <c r="S22" s="1123"/>
      <c r="T22" s="1123"/>
      <c r="U22" s="142"/>
    </row>
    <row r="23" spans="1:22" s="113" customFormat="1" ht="24" customHeight="1">
      <c r="A23" s="1123" t="s">
        <v>183</v>
      </c>
      <c r="B23" s="1123"/>
      <c r="C23" s="112"/>
      <c r="D23" s="1123" t="s">
        <v>184</v>
      </c>
      <c r="E23" s="1123"/>
      <c r="F23" s="1123"/>
      <c r="G23" s="1123"/>
      <c r="H23" s="1123"/>
      <c r="L23" s="1123" t="s">
        <v>45</v>
      </c>
      <c r="M23" s="1123"/>
      <c r="N23" s="1123"/>
      <c r="O23" s="1123"/>
      <c r="Q23" s="1123" t="s">
        <v>43</v>
      </c>
      <c r="R23" s="1123"/>
      <c r="S23" s="1123"/>
      <c r="T23" s="1123"/>
      <c r="U23" s="112"/>
    </row>
    <row r="24" spans="1:22" s="14" customFormat="1" ht="14.25">
      <c r="A24" s="110"/>
      <c r="B24" s="110"/>
      <c r="C24" s="110"/>
      <c r="D24" s="110"/>
      <c r="E24" s="109"/>
      <c r="F24" s="110"/>
      <c r="G24" s="109"/>
      <c r="H24" s="110"/>
      <c r="I24" s="109"/>
      <c r="J24" s="110"/>
      <c r="K24" s="110"/>
      <c r="L24" s="110"/>
      <c r="M24" s="109"/>
      <c r="N24" s="109"/>
      <c r="O24" s="109"/>
      <c r="P24" s="109"/>
      <c r="Q24" s="110"/>
      <c r="R24" s="110"/>
    </row>
    <row r="25" spans="1:22" s="14" customFormat="1" ht="14.25">
      <c r="A25" s="110"/>
      <c r="B25" s="110"/>
      <c r="C25" s="110"/>
      <c r="D25" s="110"/>
      <c r="E25" s="109"/>
      <c r="F25" s="110"/>
      <c r="G25" s="109"/>
      <c r="H25" s="110"/>
      <c r="I25" s="109"/>
      <c r="J25" s="110"/>
      <c r="K25" s="110"/>
      <c r="L25" s="110"/>
      <c r="M25" s="109"/>
      <c r="N25" s="109"/>
      <c r="O25" s="109"/>
      <c r="P25" s="109"/>
      <c r="Q25" s="110"/>
      <c r="R25" s="110"/>
    </row>
    <row r="26" spans="1:22" s="14" customFormat="1" ht="14.25">
      <c r="A26" s="110"/>
      <c r="B26" s="110"/>
      <c r="C26" s="110"/>
      <c r="D26" s="110"/>
      <c r="E26" s="109"/>
      <c r="F26" s="110"/>
      <c r="G26" s="109"/>
      <c r="H26" s="110"/>
      <c r="I26" s="109"/>
      <c r="J26" s="110"/>
      <c r="K26" s="110"/>
      <c r="L26" s="110"/>
      <c r="M26" s="109"/>
      <c r="N26" s="109"/>
      <c r="O26" s="109"/>
      <c r="P26" s="109"/>
      <c r="Q26" s="110"/>
      <c r="R26" s="110"/>
    </row>
    <row r="27" spans="1:22" s="14" customFormat="1" ht="14.25">
      <c r="A27" s="110"/>
      <c r="B27" s="110"/>
      <c r="C27" s="110"/>
      <c r="D27" s="110"/>
      <c r="E27" s="109"/>
      <c r="F27" s="110"/>
      <c r="G27" s="109"/>
      <c r="H27" s="110"/>
      <c r="I27" s="109"/>
      <c r="J27" s="110"/>
      <c r="K27" s="110"/>
      <c r="L27" s="110"/>
      <c r="M27" s="109"/>
      <c r="N27" s="109"/>
      <c r="O27" s="109"/>
      <c r="P27" s="109"/>
      <c r="Q27" s="110"/>
      <c r="R27" s="110"/>
    </row>
    <row r="28" spans="1:22" s="14" customFormat="1" ht="14.25">
      <c r="A28" s="110"/>
      <c r="B28" s="110"/>
      <c r="C28" s="110"/>
      <c r="D28" s="110"/>
      <c r="E28" s="109"/>
      <c r="F28" s="110"/>
      <c r="G28" s="109"/>
      <c r="H28" s="110"/>
      <c r="I28" s="109"/>
      <c r="J28" s="110"/>
      <c r="K28" s="110"/>
      <c r="L28" s="110"/>
      <c r="M28" s="109"/>
      <c r="N28" s="109"/>
      <c r="O28" s="109"/>
      <c r="P28" s="109"/>
      <c r="Q28" s="110"/>
      <c r="R28" s="110"/>
    </row>
    <row r="29" spans="1:22" s="113" customFormat="1" ht="26.25" customHeight="1">
      <c r="A29" s="1123" t="s">
        <v>46</v>
      </c>
      <c r="B29" s="1123"/>
      <c r="C29" s="112"/>
      <c r="D29" s="1269" t="s">
        <v>356</v>
      </c>
      <c r="E29" s="1269"/>
      <c r="F29" s="1269"/>
      <c r="G29" s="1269"/>
      <c r="H29" s="1269"/>
      <c r="L29" s="1123" t="s">
        <v>222</v>
      </c>
      <c r="M29" s="1123"/>
      <c r="N29" s="1123"/>
      <c r="O29" s="1123"/>
      <c r="Q29" s="1123" t="s">
        <v>49</v>
      </c>
      <c r="R29" s="1123"/>
      <c r="S29" s="1123"/>
      <c r="T29" s="1123"/>
      <c r="U29" s="112"/>
      <c r="V29" s="112"/>
    </row>
  </sheetData>
  <mergeCells count="35">
    <mergeCell ref="B21:D21"/>
    <mergeCell ref="M21:T21"/>
    <mergeCell ref="M22:T22"/>
    <mergeCell ref="L23:O23"/>
    <mergeCell ref="L29:O29"/>
    <mergeCell ref="Q29:T29"/>
    <mergeCell ref="D23:H23"/>
    <mergeCell ref="D29:H29"/>
    <mergeCell ref="A29:B29"/>
    <mergeCell ref="Q23:T23"/>
    <mergeCell ref="A22:F22"/>
    <mergeCell ref="A23:B23"/>
    <mergeCell ref="B7:B9"/>
    <mergeCell ref="A7:A9"/>
    <mergeCell ref="C7:C9"/>
    <mergeCell ref="Q7:Q9"/>
    <mergeCell ref="D7:D9"/>
    <mergeCell ref="E7:E9"/>
    <mergeCell ref="T7:T9"/>
    <mergeCell ref="F8:G8"/>
    <mergeCell ref="H8:H9"/>
    <mergeCell ref="I8:I9"/>
    <mergeCell ref="L8:M8"/>
    <mergeCell ref="N8:N9"/>
    <mergeCell ref="O8:O9"/>
    <mergeCell ref="P8:P9"/>
    <mergeCell ref="S7:S9"/>
    <mergeCell ref="F7:P7"/>
    <mergeCell ref="J8:K8"/>
    <mergeCell ref="R7:R9"/>
    <mergeCell ref="A1:D1"/>
    <mergeCell ref="K1:T1"/>
    <mergeCell ref="A2:D2"/>
    <mergeCell ref="K2:T2"/>
    <mergeCell ref="A5:T5"/>
  </mergeCells>
  <pageMargins left="0.24" right="0.16" top="0.2" bottom="0.32" header="0.2" footer="0.3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24"/>
  <sheetViews>
    <sheetView topLeftCell="A3" workbookViewId="0">
      <selection activeCell="E23" sqref="E23:J23"/>
    </sheetView>
  </sheetViews>
  <sheetFormatPr defaultRowHeight="15"/>
  <cols>
    <col min="1" max="1" width="3.42578125" customWidth="1"/>
    <col min="2" max="2" width="13.5703125" customWidth="1"/>
    <col min="3" max="3" width="10.28515625" customWidth="1"/>
    <col min="4" max="4" width="8" customWidth="1"/>
    <col min="5" max="5" width="5.7109375" customWidth="1"/>
    <col min="6" max="10" width="4.7109375" customWidth="1"/>
    <col min="11" max="11" width="4.42578125" customWidth="1"/>
    <col min="12" max="14" width="4.7109375" customWidth="1"/>
    <col min="15" max="15" width="6.7109375" customWidth="1"/>
    <col min="16" max="18" width="4.7109375" customWidth="1"/>
    <col min="19" max="19" width="4.42578125" customWidth="1"/>
    <col min="20" max="20" width="4.28515625" customWidth="1"/>
    <col min="21" max="21" width="6.85546875" customWidth="1"/>
    <col min="22" max="22" width="11.42578125" customWidth="1"/>
  </cols>
  <sheetData>
    <row r="1" spans="1:28" ht="18.75">
      <c r="A1" s="1270" t="s">
        <v>0</v>
      </c>
      <c r="B1" s="1270"/>
      <c r="C1" s="1270"/>
      <c r="D1" s="1270"/>
      <c r="E1" s="1270"/>
      <c r="F1" s="231"/>
      <c r="G1" s="231"/>
      <c r="H1" s="231"/>
      <c r="I1" s="221"/>
      <c r="J1" s="221"/>
      <c r="K1" s="222"/>
      <c r="L1" s="222"/>
      <c r="M1" s="222"/>
      <c r="P1" s="1286" t="s">
        <v>1</v>
      </c>
      <c r="Q1" s="1286"/>
      <c r="R1" s="1286"/>
      <c r="S1" s="1286"/>
      <c r="T1" s="1286"/>
      <c r="U1" s="1286"/>
      <c r="V1" s="1286"/>
      <c r="W1" s="1286"/>
      <c r="X1" s="232"/>
      <c r="Y1" s="232"/>
      <c r="Z1" s="232"/>
      <c r="AA1" s="232"/>
    </row>
    <row r="2" spans="1:28" ht="18.75">
      <c r="A2" s="232" t="s">
        <v>2</v>
      </c>
      <c r="B2" s="232"/>
      <c r="C2" s="232"/>
      <c r="D2" s="232"/>
      <c r="E2" s="232"/>
      <c r="F2" s="232"/>
      <c r="G2" s="222"/>
      <c r="H2" s="222"/>
      <c r="I2" s="223" t="s">
        <v>261</v>
      </c>
      <c r="J2" s="221"/>
      <c r="K2" s="222"/>
      <c r="L2" s="222"/>
      <c r="M2" s="222"/>
      <c r="P2" s="1285" t="s">
        <v>3</v>
      </c>
      <c r="Q2" s="1285"/>
      <c r="R2" s="1285"/>
      <c r="S2" s="1285"/>
      <c r="T2" s="1285"/>
      <c r="U2" s="1285"/>
      <c r="V2" s="1285"/>
      <c r="W2" s="1285"/>
      <c r="X2" s="222"/>
      <c r="Y2" s="222"/>
      <c r="Z2" s="222"/>
      <c r="AA2" s="222"/>
      <c r="AB2" s="222"/>
    </row>
    <row r="3" spans="1:28" ht="18.75">
      <c r="A3" s="221"/>
      <c r="B3" s="221"/>
      <c r="C3" s="221"/>
      <c r="D3" s="221"/>
      <c r="E3" s="224"/>
      <c r="F3" s="224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1284"/>
      <c r="T3" s="1284"/>
      <c r="U3" s="1284"/>
      <c r="V3" s="225"/>
      <c r="W3" s="225"/>
    </row>
    <row r="4" spans="1:28" ht="18.75">
      <c r="A4" s="1285" t="s">
        <v>259</v>
      </c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</row>
    <row r="5" spans="1:28" ht="9.7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7"/>
      <c r="T5" s="227"/>
      <c r="U5" s="227"/>
      <c r="V5" s="227"/>
      <c r="W5" s="227"/>
    </row>
    <row r="6" spans="1:28">
      <c r="A6" s="1276" t="s">
        <v>5</v>
      </c>
      <c r="B6" s="1276" t="s">
        <v>6</v>
      </c>
      <c r="C6" s="1276" t="s">
        <v>7</v>
      </c>
      <c r="D6" s="1279" t="s">
        <v>8</v>
      </c>
      <c r="E6" s="1276" t="s">
        <v>9</v>
      </c>
      <c r="F6" s="1279" t="s">
        <v>10</v>
      </c>
      <c r="G6" s="1287" t="s">
        <v>11</v>
      </c>
      <c r="H6" s="1287"/>
      <c r="I6" s="1287"/>
      <c r="J6" s="1287"/>
      <c r="K6" s="1287"/>
      <c r="L6" s="1287"/>
      <c r="M6" s="1287"/>
      <c r="N6" s="1287"/>
      <c r="O6" s="1287"/>
      <c r="P6" s="1287"/>
      <c r="Q6" s="1287"/>
      <c r="R6" s="1287"/>
      <c r="S6" s="1287"/>
      <c r="T6" s="1287"/>
      <c r="U6" s="1287"/>
      <c r="V6" s="1279" t="s">
        <v>12</v>
      </c>
      <c r="W6" s="1279" t="s">
        <v>13</v>
      </c>
    </row>
    <row r="7" spans="1:28">
      <c r="A7" s="1277"/>
      <c r="B7" s="1277"/>
      <c r="C7" s="1277"/>
      <c r="D7" s="1277"/>
      <c r="E7" s="1277"/>
      <c r="F7" s="1280"/>
      <c r="G7" s="1287" t="s">
        <v>14</v>
      </c>
      <c r="H7" s="1287"/>
      <c r="I7" s="1287" t="s">
        <v>15</v>
      </c>
      <c r="J7" s="1287"/>
      <c r="K7" s="1287"/>
      <c r="L7" s="1287" t="s">
        <v>16</v>
      </c>
      <c r="M7" s="1287"/>
      <c r="N7" s="1287"/>
      <c r="O7" s="1287"/>
      <c r="P7" s="1287" t="s">
        <v>17</v>
      </c>
      <c r="Q7" s="1287"/>
      <c r="R7" s="1287"/>
      <c r="S7" s="1287"/>
      <c r="T7" s="1283" t="s">
        <v>18</v>
      </c>
      <c r="U7" s="1283" t="s">
        <v>19</v>
      </c>
      <c r="V7" s="1280"/>
      <c r="W7" s="1280"/>
    </row>
    <row r="8" spans="1:28">
      <c r="A8" s="1277"/>
      <c r="B8" s="1277"/>
      <c r="C8" s="1277"/>
      <c r="D8" s="1277"/>
      <c r="E8" s="1277"/>
      <c r="F8" s="1280"/>
      <c r="G8" s="1274" t="s">
        <v>20</v>
      </c>
      <c r="H8" s="1274" t="s">
        <v>21</v>
      </c>
      <c r="I8" s="1274" t="s">
        <v>20</v>
      </c>
      <c r="J8" s="1274" t="s">
        <v>21</v>
      </c>
      <c r="K8" s="1283" t="s">
        <v>22</v>
      </c>
      <c r="L8" s="1274" t="s">
        <v>23</v>
      </c>
      <c r="M8" s="1274" t="s">
        <v>21</v>
      </c>
      <c r="N8" s="1273" t="s">
        <v>22</v>
      </c>
      <c r="O8" s="1273"/>
      <c r="P8" s="1274" t="s">
        <v>20</v>
      </c>
      <c r="Q8" s="1274" t="s">
        <v>21</v>
      </c>
      <c r="R8" s="1273" t="s">
        <v>22</v>
      </c>
      <c r="S8" s="1273"/>
      <c r="T8" s="1280"/>
      <c r="U8" s="1280"/>
      <c r="V8" s="1280"/>
      <c r="W8" s="1280"/>
    </row>
    <row r="9" spans="1:28" ht="23.25" customHeight="1">
      <c r="A9" s="1278"/>
      <c r="B9" s="1278"/>
      <c r="C9" s="1278"/>
      <c r="D9" s="1278"/>
      <c r="E9" s="1278"/>
      <c r="F9" s="1281"/>
      <c r="G9" s="1275"/>
      <c r="H9" s="1275"/>
      <c r="I9" s="1275"/>
      <c r="J9" s="1275"/>
      <c r="K9" s="1281"/>
      <c r="L9" s="1275"/>
      <c r="M9" s="1275"/>
      <c r="N9" s="228" t="s">
        <v>24</v>
      </c>
      <c r="O9" s="228" t="s">
        <v>25</v>
      </c>
      <c r="P9" s="1275"/>
      <c r="Q9" s="1275"/>
      <c r="R9" s="228" t="s">
        <v>24</v>
      </c>
      <c r="S9" s="228" t="s">
        <v>25</v>
      </c>
      <c r="T9" s="1281"/>
      <c r="U9" s="1281"/>
      <c r="V9" s="1281"/>
      <c r="W9" s="1281"/>
    </row>
    <row r="10" spans="1:28">
      <c r="A10" s="233">
        <v>1</v>
      </c>
      <c r="B10" s="234" t="s">
        <v>27</v>
      </c>
      <c r="C10" s="235" t="s">
        <v>28</v>
      </c>
      <c r="D10" s="236" t="s">
        <v>29</v>
      </c>
      <c r="E10" s="237">
        <v>4.0599999999999996</v>
      </c>
      <c r="F10" s="237">
        <v>0.37</v>
      </c>
      <c r="G10" s="238">
        <v>0.2</v>
      </c>
      <c r="H10" s="238"/>
      <c r="I10" s="238"/>
      <c r="J10" s="238"/>
      <c r="K10" s="239"/>
      <c r="L10" s="238">
        <v>70</v>
      </c>
      <c r="M10" s="238">
        <v>40</v>
      </c>
      <c r="N10" s="237">
        <v>30</v>
      </c>
      <c r="O10" s="237">
        <f>SUM(E10+F10+G10)*N10%</f>
        <v>1.389</v>
      </c>
      <c r="P10" s="238"/>
      <c r="Q10" s="238"/>
      <c r="R10" s="237"/>
      <c r="S10" s="237"/>
      <c r="T10" s="239"/>
      <c r="U10" s="238">
        <f>SUM(O10+S10+T10)</f>
        <v>1.389</v>
      </c>
      <c r="V10" s="261">
        <f>SUM(U10)*1490000</f>
        <v>2069610</v>
      </c>
      <c r="W10" s="240"/>
    </row>
    <row r="11" spans="1:28">
      <c r="A11" s="233">
        <v>2</v>
      </c>
      <c r="B11" s="234" t="s">
        <v>32</v>
      </c>
      <c r="C11" s="235" t="s">
        <v>33</v>
      </c>
      <c r="D11" s="236" t="s">
        <v>34</v>
      </c>
      <c r="E11" s="238">
        <v>2.66</v>
      </c>
      <c r="F11" s="239"/>
      <c r="G11" s="243"/>
      <c r="H11" s="243"/>
      <c r="I11" s="244"/>
      <c r="J11" s="244"/>
      <c r="K11" s="245"/>
      <c r="L11" s="246">
        <v>70</v>
      </c>
      <c r="M11" s="238">
        <v>40</v>
      </c>
      <c r="N11" s="237">
        <v>30</v>
      </c>
      <c r="O11" s="247">
        <f t="shared" ref="O11:O13" si="0">SUM(E11+F11+G11)*N11%</f>
        <v>0.79800000000000004</v>
      </c>
      <c r="P11" s="248"/>
      <c r="Q11" s="248"/>
      <c r="R11" s="249"/>
      <c r="S11" s="249"/>
      <c r="T11" s="248"/>
      <c r="U11" s="238">
        <f t="shared" ref="U11:U14" si="1">SUM(O11+S11+T11)</f>
        <v>0.79800000000000004</v>
      </c>
      <c r="V11" s="261">
        <f t="shared" ref="V11:V13" si="2">SUM(U11)*1490000</f>
        <v>1189020</v>
      </c>
      <c r="W11" s="240"/>
    </row>
    <row r="12" spans="1:28">
      <c r="A12" s="233">
        <v>3</v>
      </c>
      <c r="B12" s="234" t="s">
        <v>35</v>
      </c>
      <c r="C12" s="241">
        <v>28370</v>
      </c>
      <c r="D12" s="236" t="s">
        <v>36</v>
      </c>
      <c r="E12" s="237">
        <v>2.66</v>
      </c>
      <c r="F12" s="242"/>
      <c r="G12" s="243"/>
      <c r="H12" s="243"/>
      <c r="I12" s="244"/>
      <c r="J12" s="244"/>
      <c r="K12" s="245"/>
      <c r="L12" s="246">
        <v>70</v>
      </c>
      <c r="M12" s="238">
        <v>40</v>
      </c>
      <c r="N12" s="237">
        <v>30</v>
      </c>
      <c r="O12" s="247">
        <f t="shared" si="0"/>
        <v>0.79800000000000004</v>
      </c>
      <c r="P12" s="248"/>
      <c r="Q12" s="248"/>
      <c r="R12" s="249"/>
      <c r="S12" s="249"/>
      <c r="T12" s="248"/>
      <c r="U12" s="238">
        <f t="shared" si="1"/>
        <v>0.79800000000000004</v>
      </c>
      <c r="V12" s="261">
        <f t="shared" si="2"/>
        <v>1189020</v>
      </c>
      <c r="W12" s="240"/>
    </row>
    <row r="13" spans="1:28">
      <c r="A13" s="233">
        <v>4</v>
      </c>
      <c r="B13" s="234" t="s">
        <v>37</v>
      </c>
      <c r="C13" s="241">
        <v>26917</v>
      </c>
      <c r="D13" s="236" t="s">
        <v>38</v>
      </c>
      <c r="E13" s="238">
        <v>3.86</v>
      </c>
      <c r="F13" s="239"/>
      <c r="G13" s="243"/>
      <c r="H13" s="243"/>
      <c r="I13" s="244"/>
      <c r="J13" s="244"/>
      <c r="K13" s="245"/>
      <c r="L13" s="246">
        <v>70</v>
      </c>
      <c r="M13" s="238">
        <v>40</v>
      </c>
      <c r="N13" s="237">
        <v>30</v>
      </c>
      <c r="O13" s="237">
        <f t="shared" si="0"/>
        <v>1.1579999999999999</v>
      </c>
      <c r="P13" s="248"/>
      <c r="Q13" s="248"/>
      <c r="R13" s="248"/>
      <c r="S13" s="248"/>
      <c r="T13" s="250"/>
      <c r="U13" s="238">
        <f t="shared" si="1"/>
        <v>1.1579999999999999</v>
      </c>
      <c r="V13" s="261">
        <f t="shared" si="2"/>
        <v>1725419.9999999998</v>
      </c>
      <c r="W13" s="240"/>
    </row>
    <row r="14" spans="1:28">
      <c r="A14" s="1282" t="s">
        <v>39</v>
      </c>
      <c r="B14" s="1282"/>
      <c r="C14" s="251"/>
      <c r="D14" s="252"/>
      <c r="E14" s="253">
        <f>SUM(E10:E13)</f>
        <v>13.239999999999998</v>
      </c>
      <c r="F14" s="253">
        <f>SUM(F10:F13)</f>
        <v>0.37</v>
      </c>
      <c r="G14" s="253"/>
      <c r="H14" s="253"/>
      <c r="I14" s="253"/>
      <c r="J14" s="253"/>
      <c r="K14" s="253"/>
      <c r="L14" s="253"/>
      <c r="M14" s="253"/>
      <c r="N14" s="253"/>
      <c r="O14" s="254">
        <f>SUM(O10:O13)</f>
        <v>4.1430000000000007</v>
      </c>
      <c r="P14" s="255"/>
      <c r="Q14" s="255"/>
      <c r="R14" s="255"/>
      <c r="S14" s="255"/>
      <c r="T14" s="256"/>
      <c r="U14" s="260">
        <f t="shared" si="1"/>
        <v>4.1430000000000007</v>
      </c>
      <c r="V14" s="262">
        <f>SUM(V10:V13)</f>
        <v>6173070</v>
      </c>
      <c r="W14" s="257"/>
    </row>
    <row r="15" spans="1:2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59"/>
      <c r="W15" s="13"/>
    </row>
    <row r="16" spans="1:28" ht="18">
      <c r="A16" s="1271" t="s">
        <v>354</v>
      </c>
      <c r="B16" s="1271"/>
      <c r="C16" s="1271"/>
      <c r="D16" s="1271"/>
      <c r="E16" s="1271"/>
      <c r="F16" s="1271"/>
      <c r="G16" s="1271"/>
      <c r="H16" s="1271"/>
      <c r="I16" s="1271"/>
      <c r="J16" s="1271"/>
      <c r="K16" s="25"/>
      <c r="L16" s="25"/>
      <c r="M16" s="1272" t="s">
        <v>355</v>
      </c>
      <c r="N16" s="1272"/>
      <c r="O16" s="1272"/>
      <c r="P16" s="1272"/>
      <c r="Q16" s="1272"/>
      <c r="R16" s="1272"/>
      <c r="S16" s="1272"/>
      <c r="T16" s="1272"/>
      <c r="U16" s="1272"/>
      <c r="V16" s="1272"/>
      <c r="W16" s="1272"/>
    </row>
    <row r="17" spans="1:23" s="105" customFormat="1" ht="15.75">
      <c r="A17" s="1220" t="s">
        <v>217</v>
      </c>
      <c r="B17" s="1220"/>
      <c r="C17" s="1220"/>
      <c r="D17" s="1220"/>
      <c r="E17" s="1220"/>
      <c r="F17" s="1220"/>
      <c r="G17" s="1220"/>
      <c r="H17" s="1220"/>
      <c r="I17" s="1220"/>
      <c r="J17" s="1220"/>
      <c r="K17" s="341"/>
      <c r="L17" s="341"/>
      <c r="M17" s="1220" t="s">
        <v>42</v>
      </c>
      <c r="N17" s="1220"/>
      <c r="O17" s="1220"/>
      <c r="P17" s="1220"/>
      <c r="Q17" s="1220"/>
      <c r="R17" s="1220"/>
      <c r="S17" s="1220"/>
      <c r="T17" s="1220"/>
      <c r="U17" s="1220"/>
      <c r="V17" s="1220"/>
      <c r="W17" s="1220"/>
    </row>
    <row r="18" spans="1:23" s="105" customFormat="1" ht="15.75">
      <c r="A18" s="1220" t="s">
        <v>43</v>
      </c>
      <c r="B18" s="1220"/>
      <c r="C18" s="1220"/>
      <c r="D18" s="258"/>
      <c r="E18" s="1220" t="s">
        <v>44</v>
      </c>
      <c r="F18" s="1220"/>
      <c r="G18" s="1220"/>
      <c r="H18" s="1220"/>
      <c r="I18" s="1220"/>
      <c r="J18" s="1220"/>
      <c r="K18" s="258"/>
      <c r="L18" s="258"/>
      <c r="M18" s="1220" t="s">
        <v>45</v>
      </c>
      <c r="N18" s="1220"/>
      <c r="O18" s="1220"/>
      <c r="P18" s="1220"/>
      <c r="Q18" s="1220"/>
      <c r="R18" s="1220"/>
      <c r="S18" s="1220"/>
      <c r="T18" s="1220" t="s">
        <v>43</v>
      </c>
      <c r="U18" s="1220"/>
      <c r="V18" s="1220"/>
      <c r="W18" s="1220"/>
    </row>
    <row r="19" spans="1:23" ht="18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</row>
    <row r="20" spans="1:23" ht="18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</row>
    <row r="21" spans="1:23" ht="18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</row>
    <row r="22" spans="1:23" ht="18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</row>
    <row r="23" spans="1:23" ht="18">
      <c r="A23" s="1109" t="s">
        <v>46</v>
      </c>
      <c r="B23" s="1109"/>
      <c r="C23" s="1109"/>
      <c r="D23" s="229"/>
      <c r="E23" s="1109" t="s">
        <v>356</v>
      </c>
      <c r="F23" s="1109"/>
      <c r="G23" s="1109"/>
      <c r="H23" s="1109"/>
      <c r="I23" s="1109"/>
      <c r="J23" s="1109"/>
      <c r="K23" s="230"/>
      <c r="L23" s="230"/>
      <c r="M23" s="1109" t="s">
        <v>222</v>
      </c>
      <c r="N23" s="1109"/>
      <c r="O23" s="1109"/>
      <c r="P23" s="1109"/>
      <c r="Q23" s="1109"/>
      <c r="R23" s="1109"/>
      <c r="S23" s="1109"/>
      <c r="T23" s="1109" t="s">
        <v>49</v>
      </c>
      <c r="U23" s="1109"/>
      <c r="V23" s="1109"/>
      <c r="W23" s="1109"/>
    </row>
    <row r="24" spans="1:2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</sheetData>
  <mergeCells count="44">
    <mergeCell ref="S3:U3"/>
    <mergeCell ref="A4:W4"/>
    <mergeCell ref="P1:W1"/>
    <mergeCell ref="P2:W2"/>
    <mergeCell ref="G6:U6"/>
    <mergeCell ref="V6:V9"/>
    <mergeCell ref="W6:W9"/>
    <mergeCell ref="G7:H7"/>
    <mergeCell ref="I7:K7"/>
    <mergeCell ref="L7:O7"/>
    <mergeCell ref="P7:S7"/>
    <mergeCell ref="T7:T9"/>
    <mergeCell ref="U7:U9"/>
    <mergeCell ref="G8:G9"/>
    <mergeCell ref="R8:S8"/>
    <mergeCell ref="L8:L9"/>
    <mergeCell ref="A14:B14"/>
    <mergeCell ref="H8:H9"/>
    <mergeCell ref="I8:I9"/>
    <mergeCell ref="J8:J9"/>
    <mergeCell ref="K8:K9"/>
    <mergeCell ref="M8:M9"/>
    <mergeCell ref="A6:A9"/>
    <mergeCell ref="B6:B9"/>
    <mergeCell ref="C6:C9"/>
    <mergeCell ref="D6:D9"/>
    <mergeCell ref="E6:E9"/>
    <mergeCell ref="F6:F9"/>
    <mergeCell ref="A23:C23"/>
    <mergeCell ref="E23:J23"/>
    <mergeCell ref="M23:S23"/>
    <mergeCell ref="T23:W23"/>
    <mergeCell ref="A1:E1"/>
    <mergeCell ref="A16:J16"/>
    <mergeCell ref="M16:W16"/>
    <mergeCell ref="A17:J17"/>
    <mergeCell ref="M17:W17"/>
    <mergeCell ref="A18:C18"/>
    <mergeCell ref="E18:J18"/>
    <mergeCell ref="M18:S18"/>
    <mergeCell ref="T18:W18"/>
    <mergeCell ref="N8:O8"/>
    <mergeCell ref="P8:P9"/>
    <mergeCell ref="Q8:Q9"/>
  </mergeCells>
  <pageMargins left="0.24" right="0.16" top="0.32" bottom="0.37" header="0.3" footer="0.3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23"/>
  <sheetViews>
    <sheetView topLeftCell="A10" workbookViewId="0">
      <selection activeCell="E2" sqref="E2"/>
    </sheetView>
  </sheetViews>
  <sheetFormatPr defaultRowHeight="15"/>
  <cols>
    <col min="1" max="1" width="4.28515625" customWidth="1"/>
    <col min="2" max="2" width="16.42578125" customWidth="1"/>
    <col min="3" max="3" width="13" customWidth="1"/>
    <col min="4" max="4" width="13.28515625" customWidth="1"/>
    <col min="5" max="5" width="14.42578125" customWidth="1"/>
    <col min="6" max="6" width="7.42578125" customWidth="1"/>
    <col min="7" max="7" width="10.42578125" customWidth="1"/>
    <col min="9" max="9" width="12.28515625" customWidth="1"/>
    <col min="10" max="10" width="13.5703125" customWidth="1"/>
    <col min="11" max="11" width="9.85546875" customWidth="1"/>
    <col min="12" max="12" width="19.5703125" customWidth="1"/>
  </cols>
  <sheetData>
    <row r="1" spans="1:19" ht="15.75">
      <c r="A1" s="14" t="s">
        <v>310</v>
      </c>
      <c r="B1" s="14"/>
      <c r="C1" s="14"/>
      <c r="D1" s="14"/>
      <c r="E1" s="14"/>
      <c r="F1" s="14"/>
      <c r="G1" s="14"/>
      <c r="H1" s="14"/>
      <c r="I1" s="341" t="s">
        <v>311</v>
      </c>
      <c r="J1" s="14"/>
      <c r="K1" s="14"/>
      <c r="L1" s="14"/>
    </row>
    <row r="2" spans="1:19" ht="18.75">
      <c r="A2" s="290" t="s">
        <v>312</v>
      </c>
      <c r="B2" s="14"/>
      <c r="C2" s="14"/>
      <c r="D2" s="14"/>
      <c r="E2" s="809" t="s">
        <v>479</v>
      </c>
      <c r="F2" s="14"/>
      <c r="G2" s="14"/>
      <c r="H2" s="14"/>
      <c r="I2" s="14"/>
      <c r="J2" s="229" t="s">
        <v>313</v>
      </c>
      <c r="K2" s="14"/>
      <c r="L2" s="14"/>
    </row>
    <row r="3" spans="1:19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9" ht="18">
      <c r="A4" s="1290" t="s">
        <v>314</v>
      </c>
      <c r="B4" s="1290"/>
      <c r="C4" s="1290"/>
      <c r="D4" s="1290"/>
      <c r="E4" s="1290"/>
      <c r="F4" s="1290"/>
      <c r="G4" s="1290"/>
      <c r="H4" s="1290"/>
      <c r="I4" s="1290"/>
      <c r="J4" s="1290"/>
      <c r="K4" s="1290"/>
      <c r="L4" s="1290"/>
    </row>
    <row r="5" spans="1:19" ht="18">
      <c r="A5" s="1291" t="s">
        <v>315</v>
      </c>
      <c r="B5" s="1291"/>
      <c r="C5" s="1291"/>
      <c r="D5" s="1291"/>
      <c r="E5" s="1291"/>
      <c r="F5" s="1291"/>
      <c r="G5" s="1291"/>
      <c r="H5" s="1291"/>
      <c r="I5" s="1291"/>
      <c r="J5" s="1291"/>
      <c r="K5" s="1291"/>
      <c r="L5" s="1291"/>
    </row>
    <row r="6" spans="1:19">
      <c r="A6" s="1222" t="s">
        <v>51</v>
      </c>
      <c r="B6" s="1222" t="s">
        <v>149</v>
      </c>
      <c r="C6" s="1223" t="s">
        <v>316</v>
      </c>
      <c r="D6" s="1225"/>
      <c r="E6" s="1222" t="s">
        <v>317</v>
      </c>
      <c r="F6" s="1222" t="s">
        <v>318</v>
      </c>
      <c r="G6" s="1222" t="s">
        <v>319</v>
      </c>
      <c r="H6" s="1292" t="s">
        <v>320</v>
      </c>
      <c r="I6" s="1292"/>
      <c r="J6" s="1292" t="s">
        <v>321</v>
      </c>
      <c r="K6" s="1292"/>
      <c r="L6" s="1222" t="s">
        <v>322</v>
      </c>
    </row>
    <row r="7" spans="1:19" ht="63.75" customHeight="1">
      <c r="A7" s="1149"/>
      <c r="B7" s="1149"/>
      <c r="C7" s="342" t="s">
        <v>323</v>
      </c>
      <c r="D7" s="342" t="s">
        <v>324</v>
      </c>
      <c r="E7" s="1149"/>
      <c r="F7" s="1149"/>
      <c r="G7" s="1149"/>
      <c r="H7" s="328" t="s">
        <v>325</v>
      </c>
      <c r="I7" s="328" t="s">
        <v>52</v>
      </c>
      <c r="J7" s="328" t="s">
        <v>325</v>
      </c>
      <c r="K7" s="328" t="s">
        <v>52</v>
      </c>
      <c r="L7" s="1149"/>
    </row>
    <row r="8" spans="1:19" s="142" customFormat="1" ht="30.75" customHeight="1">
      <c r="A8" s="343">
        <v>1</v>
      </c>
      <c r="B8" s="344" t="s">
        <v>326</v>
      </c>
      <c r="C8" s="345" t="s">
        <v>327</v>
      </c>
      <c r="D8" s="346"/>
      <c r="E8" s="347" t="s">
        <v>328</v>
      </c>
      <c r="F8" s="348">
        <v>2018</v>
      </c>
      <c r="G8" s="343" t="s">
        <v>329</v>
      </c>
      <c r="H8" s="348" t="s">
        <v>330</v>
      </c>
      <c r="I8" s="349" t="s">
        <v>29</v>
      </c>
      <c r="J8" s="343" t="s">
        <v>331</v>
      </c>
      <c r="K8" s="349" t="s">
        <v>31</v>
      </c>
      <c r="L8" s="344" t="s">
        <v>332</v>
      </c>
    </row>
    <row r="9" spans="1:19" s="142" customFormat="1" ht="30.75" customHeight="1">
      <c r="A9" s="350">
        <v>2</v>
      </c>
      <c r="B9" s="351" t="s">
        <v>333</v>
      </c>
      <c r="C9" s="352" t="s">
        <v>334</v>
      </c>
      <c r="D9" s="353"/>
      <c r="E9" s="354" t="s">
        <v>335</v>
      </c>
      <c r="F9" s="355">
        <v>2018</v>
      </c>
      <c r="G9" s="356" t="s">
        <v>336</v>
      </c>
      <c r="H9" s="355" t="s">
        <v>330</v>
      </c>
      <c r="I9" s="146" t="s">
        <v>29</v>
      </c>
      <c r="J9" s="356" t="s">
        <v>331</v>
      </c>
      <c r="K9" s="146" t="s">
        <v>31</v>
      </c>
      <c r="L9" s="351" t="s">
        <v>332</v>
      </c>
    </row>
    <row r="10" spans="1:19" s="142" customFormat="1" ht="30.75" customHeight="1">
      <c r="A10" s="356">
        <v>3</v>
      </c>
      <c r="B10" s="351" t="s">
        <v>337</v>
      </c>
      <c r="C10" s="351"/>
      <c r="D10" s="353">
        <v>33108</v>
      </c>
      <c r="E10" s="354" t="s">
        <v>338</v>
      </c>
      <c r="F10" s="355">
        <v>2018</v>
      </c>
      <c r="G10" s="356" t="s">
        <v>336</v>
      </c>
      <c r="H10" s="355" t="s">
        <v>330</v>
      </c>
      <c r="I10" s="146" t="s">
        <v>29</v>
      </c>
      <c r="J10" s="356" t="s">
        <v>331</v>
      </c>
      <c r="K10" s="146" t="s">
        <v>31</v>
      </c>
      <c r="L10" s="351" t="s">
        <v>332</v>
      </c>
    </row>
    <row r="11" spans="1:19" s="142" customFormat="1" ht="30.75" customHeight="1">
      <c r="A11" s="350">
        <v>4</v>
      </c>
      <c r="B11" s="354" t="s">
        <v>339</v>
      </c>
      <c r="C11" s="352" t="s">
        <v>340</v>
      </c>
      <c r="D11" s="357"/>
      <c r="E11" s="354" t="s">
        <v>341</v>
      </c>
      <c r="F11" s="355">
        <v>2018</v>
      </c>
      <c r="G11" s="356" t="s">
        <v>329</v>
      </c>
      <c r="H11" s="355" t="s">
        <v>330</v>
      </c>
      <c r="I11" s="146" t="s">
        <v>29</v>
      </c>
      <c r="J11" s="356" t="s">
        <v>331</v>
      </c>
      <c r="K11" s="146" t="s">
        <v>31</v>
      </c>
      <c r="L11" s="351" t="s">
        <v>332</v>
      </c>
    </row>
    <row r="12" spans="1:19" s="142" customFormat="1" ht="30.75" customHeight="1">
      <c r="A12" s="356">
        <v>5</v>
      </c>
      <c r="B12" s="354" t="s">
        <v>282</v>
      </c>
      <c r="C12" s="352" t="s">
        <v>342</v>
      </c>
      <c r="D12" s="357"/>
      <c r="E12" s="354" t="s">
        <v>343</v>
      </c>
      <c r="F12" s="355">
        <v>2018</v>
      </c>
      <c r="G12" s="356" t="s">
        <v>329</v>
      </c>
      <c r="H12" s="355" t="s">
        <v>330</v>
      </c>
      <c r="I12" s="146" t="s">
        <v>29</v>
      </c>
      <c r="J12" s="356" t="s">
        <v>331</v>
      </c>
      <c r="K12" s="146" t="s">
        <v>31</v>
      </c>
      <c r="L12" s="351" t="s">
        <v>332</v>
      </c>
    </row>
    <row r="13" spans="1:19" s="142" customFormat="1" ht="30.75" customHeight="1">
      <c r="A13" s="350">
        <v>6</v>
      </c>
      <c r="B13" s="354" t="s">
        <v>181</v>
      </c>
      <c r="C13" s="352" t="s">
        <v>344</v>
      </c>
      <c r="D13" s="357"/>
      <c r="E13" s="354" t="s">
        <v>345</v>
      </c>
      <c r="F13" s="355">
        <v>2018</v>
      </c>
      <c r="G13" s="356" t="s">
        <v>329</v>
      </c>
      <c r="H13" s="355" t="s">
        <v>330</v>
      </c>
      <c r="I13" s="146" t="s">
        <v>29</v>
      </c>
      <c r="J13" s="356" t="s">
        <v>331</v>
      </c>
      <c r="K13" s="146" t="s">
        <v>31</v>
      </c>
      <c r="L13" s="351" t="s">
        <v>332</v>
      </c>
    </row>
    <row r="14" spans="1:19" s="142" customFormat="1" ht="30.75" customHeight="1">
      <c r="A14" s="356">
        <v>7</v>
      </c>
      <c r="B14" s="354" t="s">
        <v>80</v>
      </c>
      <c r="C14" s="352" t="s">
        <v>346</v>
      </c>
      <c r="D14" s="357"/>
      <c r="E14" s="351" t="s">
        <v>345</v>
      </c>
      <c r="F14" s="355">
        <v>2018</v>
      </c>
      <c r="G14" s="146" t="s">
        <v>347</v>
      </c>
      <c r="H14" s="355" t="s">
        <v>330</v>
      </c>
      <c r="I14" s="146" t="s">
        <v>29</v>
      </c>
      <c r="J14" s="356" t="s">
        <v>331</v>
      </c>
      <c r="K14" s="146" t="s">
        <v>31</v>
      </c>
      <c r="L14" s="351" t="s">
        <v>332</v>
      </c>
    </row>
    <row r="15" spans="1:19" s="142" customFormat="1" ht="30" customHeight="1">
      <c r="A15" s="553">
        <v>8</v>
      </c>
      <c r="B15" s="358" t="s">
        <v>182</v>
      </c>
      <c r="C15" s="359"/>
      <c r="D15" s="360" t="s">
        <v>348</v>
      </c>
      <c r="E15" s="361" t="s">
        <v>349</v>
      </c>
      <c r="F15" s="362">
        <v>2018</v>
      </c>
      <c r="G15" s="53" t="s">
        <v>347</v>
      </c>
      <c r="H15" s="362" t="s">
        <v>350</v>
      </c>
      <c r="I15" s="53" t="s">
        <v>351</v>
      </c>
      <c r="J15" s="359" t="s">
        <v>352</v>
      </c>
      <c r="K15" s="53" t="s">
        <v>34</v>
      </c>
      <c r="L15" s="53" t="s">
        <v>353</v>
      </c>
    </row>
    <row r="16" spans="1:19" s="13" customFormat="1" ht="18">
      <c r="A16" s="1272" t="s">
        <v>354</v>
      </c>
      <c r="B16" s="1272"/>
      <c r="C16" s="1272"/>
      <c r="D16" s="1272"/>
      <c r="E16" s="1272"/>
      <c r="F16" s="363"/>
      <c r="G16" s="363"/>
      <c r="H16" s="363"/>
      <c r="I16" s="1272" t="s">
        <v>355</v>
      </c>
      <c r="J16" s="1272"/>
      <c r="K16" s="1272"/>
      <c r="L16" s="1272"/>
      <c r="M16" s="363"/>
      <c r="N16" s="363"/>
      <c r="O16" s="363"/>
      <c r="P16" s="363"/>
      <c r="Q16" s="363"/>
      <c r="R16" s="363"/>
      <c r="S16" s="363"/>
    </row>
    <row r="17" spans="1:23" s="13" customFormat="1" ht="18">
      <c r="A17" s="1289" t="s">
        <v>41</v>
      </c>
      <c r="B17" s="1289"/>
      <c r="C17" s="1289"/>
      <c r="D17" s="1289"/>
      <c r="E17" s="1289"/>
      <c r="F17" s="364"/>
      <c r="G17" s="364"/>
      <c r="H17" s="364"/>
      <c r="I17" s="364"/>
      <c r="J17" s="258" t="s">
        <v>42</v>
      </c>
      <c r="K17" s="258"/>
      <c r="L17" s="258"/>
      <c r="M17" s="258"/>
      <c r="N17" s="258"/>
      <c r="O17" s="258"/>
      <c r="P17" s="258"/>
      <c r="Q17" s="258"/>
      <c r="R17" s="258"/>
      <c r="S17" s="258"/>
      <c r="T17" s="258"/>
    </row>
    <row r="18" spans="1:23" s="105" customFormat="1" ht="21.75" customHeight="1">
      <c r="A18" s="1220" t="s">
        <v>43</v>
      </c>
      <c r="B18" s="1220"/>
      <c r="C18" s="1220"/>
      <c r="D18" s="258"/>
      <c r="E18" s="258" t="s">
        <v>44</v>
      </c>
      <c r="F18" s="258"/>
      <c r="G18" s="258"/>
      <c r="H18" s="258" t="s">
        <v>45</v>
      </c>
      <c r="I18" s="258"/>
      <c r="J18" s="258"/>
      <c r="K18" s="1220" t="s">
        <v>43</v>
      </c>
      <c r="L18" s="1220"/>
      <c r="M18" s="258"/>
      <c r="N18" s="258"/>
      <c r="O18" s="258"/>
    </row>
    <row r="19" spans="1:23" s="13" customFormat="1" ht="18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</row>
    <row r="20" spans="1:23" s="13" customFormat="1" ht="18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</row>
    <row r="21" spans="1:23" s="13" customFormat="1" ht="18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</row>
    <row r="22" spans="1:23" s="13" customFormat="1" ht="18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</row>
    <row r="23" spans="1:23" s="13" customFormat="1" ht="33.75" customHeight="1">
      <c r="A23" s="1109" t="s">
        <v>46</v>
      </c>
      <c r="B23" s="1109"/>
      <c r="C23" s="1109"/>
      <c r="D23" s="229"/>
      <c r="E23" s="1288" t="s">
        <v>356</v>
      </c>
      <c r="F23" s="1288"/>
      <c r="G23" s="230"/>
      <c r="H23" s="1109" t="s">
        <v>222</v>
      </c>
      <c r="I23" s="1109"/>
      <c r="J23" s="230"/>
      <c r="K23" s="1109" t="s">
        <v>49</v>
      </c>
      <c r="L23" s="1109"/>
      <c r="M23" s="230"/>
      <c r="N23" s="230"/>
    </row>
  </sheetData>
  <mergeCells count="20">
    <mergeCell ref="L6:L7"/>
    <mergeCell ref="A18:C18"/>
    <mergeCell ref="A16:E16"/>
    <mergeCell ref="A4:L4"/>
    <mergeCell ref="A5:L5"/>
    <mergeCell ref="A6:A7"/>
    <mergeCell ref="B6:B7"/>
    <mergeCell ref="C6:D6"/>
    <mergeCell ref="E6:E7"/>
    <mergeCell ref="F6:F7"/>
    <mergeCell ref="G6:G7"/>
    <mergeCell ref="H6:I6"/>
    <mergeCell ref="J6:K6"/>
    <mergeCell ref="E23:F23"/>
    <mergeCell ref="H23:I23"/>
    <mergeCell ref="K23:L23"/>
    <mergeCell ref="A23:C23"/>
    <mergeCell ref="I16:L16"/>
    <mergeCell ref="K18:L18"/>
    <mergeCell ref="A17:E17"/>
  </mergeCells>
  <pageMargins left="0.24" right="0.16" top="0.2" bottom="0.2" header="0.2" footer="0.2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H13" sqref="H13"/>
    </sheetView>
  </sheetViews>
  <sheetFormatPr defaultRowHeight="15"/>
  <cols>
    <col min="1" max="1" width="2.42578125" customWidth="1"/>
    <col min="2" max="2" width="15.7109375" customWidth="1"/>
    <col min="3" max="3" width="12.28515625" customWidth="1"/>
    <col min="4" max="4" width="8.5703125" customWidth="1"/>
    <col min="5" max="5" width="5.85546875" customWidth="1"/>
    <col min="6" max="6" width="13.7109375" customWidth="1"/>
    <col min="7" max="7" width="5.85546875" customWidth="1"/>
    <col min="8" max="8" width="14.5703125" customWidth="1"/>
    <col min="9" max="9" width="7" customWidth="1"/>
    <col min="10" max="10" width="3.7109375" customWidth="1"/>
    <col min="11" max="11" width="4" customWidth="1"/>
    <col min="12" max="12" width="5.140625" customWidth="1"/>
    <col min="13" max="13" width="8.28515625" customWidth="1"/>
    <col min="14" max="14" width="6.42578125" customWidth="1"/>
    <col min="15" max="15" width="8.140625" customWidth="1"/>
    <col min="16" max="16" width="9.85546875" customWidth="1"/>
    <col min="17" max="17" width="13" customWidth="1"/>
  </cols>
  <sheetData>
    <row r="1" spans="1:18" ht="16.5">
      <c r="A1" s="561"/>
      <c r="B1" s="562" t="s">
        <v>418</v>
      </c>
      <c r="C1" s="561"/>
      <c r="D1" s="561" t="s">
        <v>69</v>
      </c>
      <c r="E1" s="563"/>
      <c r="F1" s="564"/>
      <c r="G1" s="565"/>
      <c r="H1" s="566"/>
      <c r="I1" s="561"/>
      <c r="J1" s="567" t="s">
        <v>419</v>
      </c>
      <c r="K1" s="561"/>
      <c r="L1" s="561"/>
      <c r="M1" s="561"/>
      <c r="N1" s="561"/>
      <c r="O1" s="561"/>
      <c r="P1" s="566"/>
      <c r="Q1" s="561"/>
      <c r="R1" s="561"/>
    </row>
    <row r="2" spans="1:18" ht="19.5">
      <c r="A2" s="1303" t="s">
        <v>465</v>
      </c>
      <c r="B2" s="1303"/>
      <c r="C2" s="1303"/>
      <c r="D2" s="568"/>
      <c r="E2" s="569"/>
      <c r="F2" s="570"/>
      <c r="G2" s="571"/>
      <c r="H2" s="570"/>
      <c r="I2" s="568"/>
      <c r="J2" s="572"/>
      <c r="K2" s="573" t="s">
        <v>420</v>
      </c>
      <c r="L2" s="568"/>
      <c r="M2" s="568"/>
      <c r="N2" s="568"/>
      <c r="O2" s="568"/>
      <c r="P2" s="574"/>
      <c r="Q2" s="568"/>
      <c r="R2" s="568"/>
    </row>
    <row r="3" spans="1:18" ht="15.75">
      <c r="A3" s="575"/>
      <c r="B3" s="567"/>
      <c r="C3" s="575"/>
      <c r="D3" s="575"/>
      <c r="E3" s="576"/>
      <c r="F3" s="577"/>
      <c r="G3" s="578"/>
      <c r="H3" s="579"/>
      <c r="I3" s="580"/>
      <c r="J3" s="580"/>
      <c r="K3" s="580"/>
      <c r="L3" s="580"/>
      <c r="M3" s="580"/>
      <c r="N3" s="580"/>
      <c r="O3" s="575"/>
      <c r="P3" s="581"/>
      <c r="Q3" s="575"/>
      <c r="R3" s="575"/>
    </row>
    <row r="4" spans="1:18" ht="18.75">
      <c r="A4" s="1311" t="s">
        <v>436</v>
      </c>
      <c r="B4" s="1311"/>
      <c r="C4" s="1311"/>
      <c r="D4" s="1311"/>
      <c r="E4" s="1311"/>
      <c r="F4" s="1311"/>
      <c r="G4" s="1311"/>
      <c r="H4" s="1311"/>
      <c r="I4" s="1311"/>
      <c r="J4" s="1311"/>
      <c r="K4" s="1311"/>
      <c r="L4" s="1311"/>
      <c r="M4" s="1311"/>
      <c r="N4" s="1311"/>
      <c r="O4" s="1311"/>
      <c r="P4" s="1311"/>
      <c r="Q4" s="1311"/>
      <c r="R4" s="1311"/>
    </row>
    <row r="5" spans="1:18" ht="15.75">
      <c r="A5" s="1312" t="s">
        <v>51</v>
      </c>
      <c r="B5" s="1312" t="s">
        <v>149</v>
      </c>
      <c r="C5" s="1312" t="s">
        <v>421</v>
      </c>
      <c r="D5" s="1312" t="s">
        <v>422</v>
      </c>
      <c r="E5" s="1295" t="s">
        <v>423</v>
      </c>
      <c r="F5" s="1297" t="s">
        <v>157</v>
      </c>
      <c r="G5" s="1299" t="s">
        <v>158</v>
      </c>
      <c r="H5" s="1301" t="s">
        <v>157</v>
      </c>
      <c r="I5" s="1299" t="s">
        <v>159</v>
      </c>
      <c r="J5" s="1307" t="s">
        <v>151</v>
      </c>
      <c r="K5" s="1307"/>
      <c r="L5" s="1307" t="s">
        <v>16</v>
      </c>
      <c r="M5" s="1307"/>
      <c r="N5" s="1299" t="s">
        <v>424</v>
      </c>
      <c r="O5" s="1299" t="s">
        <v>417</v>
      </c>
      <c r="P5" s="1308" t="s">
        <v>425</v>
      </c>
      <c r="Q5" s="1293" t="s">
        <v>426</v>
      </c>
      <c r="R5" s="1293" t="s">
        <v>13</v>
      </c>
    </row>
    <row r="6" spans="1:18" ht="31.5" customHeight="1">
      <c r="A6" s="1313"/>
      <c r="B6" s="1314"/>
      <c r="C6" s="1313"/>
      <c r="D6" s="1313"/>
      <c r="E6" s="1296"/>
      <c r="F6" s="1298"/>
      <c r="G6" s="1300"/>
      <c r="H6" s="1302"/>
      <c r="I6" s="1300"/>
      <c r="J6" s="582" t="s">
        <v>427</v>
      </c>
      <c r="K6" s="582" t="s">
        <v>9</v>
      </c>
      <c r="L6" s="582" t="s">
        <v>255</v>
      </c>
      <c r="M6" s="582" t="s">
        <v>9</v>
      </c>
      <c r="N6" s="1300"/>
      <c r="O6" s="1300"/>
      <c r="P6" s="1309"/>
      <c r="Q6" s="1310"/>
      <c r="R6" s="1294"/>
    </row>
    <row r="7" spans="1:18">
      <c r="A7" s="583">
        <v>1</v>
      </c>
      <c r="B7" s="584" t="s">
        <v>49</v>
      </c>
      <c r="C7" s="585">
        <v>25118</v>
      </c>
      <c r="D7" s="586" t="s">
        <v>164</v>
      </c>
      <c r="E7" s="587">
        <v>5.42</v>
      </c>
      <c r="F7" s="637">
        <v>42401</v>
      </c>
      <c r="G7">
        <v>5.76</v>
      </c>
      <c r="H7" s="637">
        <v>43282</v>
      </c>
      <c r="I7" s="588">
        <f>G7-E7</f>
        <v>0.33999999999999986</v>
      </c>
      <c r="J7" s="589"/>
      <c r="K7" s="590"/>
      <c r="L7" s="586">
        <v>60</v>
      </c>
      <c r="M7" s="591">
        <f t="shared" ref="M7" si="0">(I7+K7)*L7%</f>
        <v>0.2039999999999999</v>
      </c>
      <c r="N7" s="591">
        <f t="shared" ref="N7" si="1">(I7+K7)*23%</f>
        <v>7.8199999999999964E-2</v>
      </c>
      <c r="O7" s="591">
        <f t="shared" ref="O7" si="2">N7+M7+K7+I7</f>
        <v>0.62219999999999975</v>
      </c>
      <c r="P7" s="592">
        <f>N7*1490000</f>
        <v>116517.99999999994</v>
      </c>
      <c r="Q7" s="593">
        <f>O7*14900000</f>
        <v>9270779.9999999963</v>
      </c>
      <c r="R7" s="594" t="s">
        <v>464</v>
      </c>
    </row>
    <row r="8" spans="1:18" ht="15.75">
      <c r="A8" s="595"/>
      <c r="B8" s="596"/>
      <c r="C8" s="597"/>
      <c r="D8" s="598"/>
      <c r="E8" s="599"/>
      <c r="F8" s="600"/>
      <c r="G8" s="601"/>
      <c r="H8" s="600"/>
      <c r="I8" s="602"/>
      <c r="J8" s="603"/>
      <c r="K8" s="604"/>
      <c r="L8" s="598"/>
      <c r="M8" s="605"/>
      <c r="N8" s="605"/>
      <c r="O8" s="605"/>
      <c r="P8" s="606"/>
      <c r="Q8" s="606"/>
      <c r="R8" s="607"/>
    </row>
    <row r="9" spans="1:18" ht="18.75">
      <c r="A9" s="608"/>
      <c r="B9" s="638" t="s">
        <v>430</v>
      </c>
      <c r="C9" s="609"/>
      <c r="D9" s="610"/>
      <c r="E9" s="611"/>
      <c r="F9" s="612"/>
      <c r="G9" s="613"/>
      <c r="H9" s="612"/>
      <c r="I9" s="614"/>
      <c r="J9" s="608"/>
      <c r="K9" s="608"/>
      <c r="M9" s="614"/>
      <c r="N9" s="638" t="s">
        <v>431</v>
      </c>
      <c r="O9" s="615"/>
      <c r="P9" s="616"/>
      <c r="Q9" s="615"/>
      <c r="R9" s="615"/>
    </row>
    <row r="10" spans="1:18" ht="18.75">
      <c r="A10" s="617"/>
      <c r="B10" s="618" t="s">
        <v>428</v>
      </c>
      <c r="C10" s="619"/>
      <c r="D10" s="611"/>
      <c r="E10" s="620"/>
      <c r="F10" s="621"/>
      <c r="G10" s="611"/>
      <c r="H10" s="621"/>
      <c r="I10" s="622"/>
      <c r="J10" s="617"/>
      <c r="K10" s="1305" t="s">
        <v>435</v>
      </c>
      <c r="L10" s="1305"/>
      <c r="M10" s="1305"/>
      <c r="N10" s="1305"/>
      <c r="O10" s="1305"/>
      <c r="P10" s="1305"/>
      <c r="Q10" s="1305"/>
      <c r="R10" s="617"/>
    </row>
    <row r="11" spans="1:18" ht="15.75">
      <c r="A11" s="1304" t="s">
        <v>434</v>
      </c>
      <c r="B11" s="1304"/>
      <c r="C11" s="1304"/>
      <c r="D11" s="13"/>
      <c r="E11" s="623" t="s">
        <v>366</v>
      </c>
      <c r="F11" s="624"/>
      <c r="G11" s="623"/>
      <c r="H11" s="624"/>
      <c r="I11" s="13"/>
      <c r="J11" s="13"/>
      <c r="K11" s="623" t="s">
        <v>45</v>
      </c>
      <c r="L11" s="623"/>
      <c r="M11" s="623"/>
      <c r="N11" s="13"/>
      <c r="O11" s="13"/>
      <c r="P11" s="639" t="s">
        <v>434</v>
      </c>
      <c r="Q11" s="639"/>
      <c r="R11" s="639"/>
    </row>
    <row r="12" spans="1:18" ht="15.75">
      <c r="A12" s="608"/>
      <c r="B12" s="608"/>
      <c r="C12" s="609"/>
      <c r="D12" s="625"/>
      <c r="E12" s="626"/>
      <c r="F12" s="627"/>
      <c r="G12" s="628"/>
      <c r="H12" s="629"/>
      <c r="I12" s="630"/>
      <c r="J12" s="630"/>
      <c r="K12" s="608"/>
      <c r="L12" s="608"/>
      <c r="M12" s="608"/>
      <c r="N12" s="608"/>
      <c r="O12" s="630" t="s">
        <v>69</v>
      </c>
      <c r="P12" s="631"/>
      <c r="Q12" s="630"/>
      <c r="R12" s="630"/>
    </row>
    <row r="13" spans="1:18">
      <c r="A13" s="630"/>
      <c r="B13" s="630"/>
      <c r="C13" s="632"/>
      <c r="D13" s="633"/>
      <c r="E13" s="91"/>
      <c r="F13" s="627"/>
      <c r="G13" s="628"/>
      <c r="H13" s="627"/>
      <c r="I13" s="634"/>
      <c r="J13" s="630"/>
      <c r="K13" s="630"/>
      <c r="L13" s="630"/>
      <c r="M13" s="630"/>
      <c r="N13" s="630"/>
      <c r="O13" s="630"/>
      <c r="P13" s="631"/>
      <c r="Q13" s="630"/>
      <c r="R13" s="630"/>
    </row>
    <row r="14" spans="1:18">
      <c r="A14" s="13"/>
      <c r="B14" s="13"/>
      <c r="C14" s="13"/>
      <c r="D14" s="13"/>
      <c r="E14" s="91"/>
      <c r="F14" s="635"/>
      <c r="G14" s="13"/>
      <c r="H14" s="635"/>
      <c r="I14" s="13"/>
      <c r="J14" s="13"/>
      <c r="K14" s="13"/>
      <c r="L14" s="13"/>
      <c r="M14" s="13"/>
      <c r="N14" s="13"/>
      <c r="O14" s="13"/>
      <c r="P14" s="635"/>
      <c r="Q14" s="13"/>
      <c r="R14" s="13"/>
    </row>
    <row r="15" spans="1:18" s="13" customFormat="1">
      <c r="E15" s="91"/>
      <c r="F15" s="635"/>
      <c r="H15" s="635"/>
      <c r="P15" s="635"/>
    </row>
    <row r="16" spans="1:18">
      <c r="A16" s="13"/>
      <c r="B16" s="13"/>
      <c r="C16" s="13"/>
      <c r="D16" s="13"/>
      <c r="E16" s="91"/>
      <c r="F16" s="635"/>
      <c r="G16" s="13"/>
      <c r="H16" s="635"/>
      <c r="I16" s="13"/>
      <c r="J16" s="13"/>
      <c r="K16" s="13"/>
      <c r="L16" s="13"/>
      <c r="M16" s="13"/>
      <c r="N16" s="13"/>
      <c r="O16" s="13"/>
      <c r="P16" s="635"/>
      <c r="Q16" s="13"/>
      <c r="R16" s="13"/>
    </row>
    <row r="17" spans="1:18">
      <c r="A17" s="13"/>
      <c r="B17" s="13"/>
      <c r="C17" s="13"/>
      <c r="D17" s="13"/>
      <c r="E17" s="91"/>
      <c r="F17" s="635"/>
      <c r="G17" s="13"/>
      <c r="H17" s="635"/>
      <c r="I17" s="13"/>
      <c r="J17" s="13"/>
      <c r="K17" s="13"/>
      <c r="L17" s="13"/>
      <c r="M17" s="13"/>
      <c r="N17" s="13"/>
      <c r="O17" s="13"/>
      <c r="P17" s="635"/>
      <c r="Q17" s="13"/>
      <c r="R17" s="13"/>
    </row>
    <row r="18" spans="1:18" s="142" customFormat="1" ht="15.75">
      <c r="A18" s="113"/>
      <c r="B18" s="768" t="s">
        <v>432</v>
      </c>
      <c r="C18" s="113"/>
      <c r="D18" s="113"/>
      <c r="E18" s="1306" t="s">
        <v>433</v>
      </c>
      <c r="F18" s="1306"/>
      <c r="G18" s="1306"/>
      <c r="H18" s="636"/>
      <c r="I18" s="113"/>
      <c r="J18" s="1306" t="s">
        <v>429</v>
      </c>
      <c r="K18" s="1306"/>
      <c r="L18" s="1306"/>
      <c r="M18" s="1306"/>
      <c r="N18" s="113"/>
      <c r="O18" s="113"/>
      <c r="P18" s="640" t="s">
        <v>49</v>
      </c>
      <c r="Q18" s="640"/>
      <c r="R18" s="640"/>
    </row>
    <row r="19" spans="1:18">
      <c r="A19" s="13"/>
      <c r="B19" s="13"/>
      <c r="C19" s="13"/>
      <c r="D19" s="13"/>
      <c r="E19" s="91"/>
      <c r="F19" s="635"/>
      <c r="G19" s="13"/>
      <c r="H19" s="635"/>
      <c r="I19" s="13"/>
      <c r="J19" s="13"/>
      <c r="K19" s="13"/>
      <c r="L19" s="13"/>
      <c r="M19" s="13"/>
      <c r="N19" s="13"/>
      <c r="O19" s="13"/>
      <c r="P19" s="635"/>
      <c r="Q19" s="13"/>
      <c r="R19" s="13"/>
    </row>
  </sheetData>
  <mergeCells count="22">
    <mergeCell ref="A2:C2"/>
    <mergeCell ref="A11:C11"/>
    <mergeCell ref="K10:Q10"/>
    <mergeCell ref="E18:G18"/>
    <mergeCell ref="J18:M18"/>
    <mergeCell ref="J5:K5"/>
    <mergeCell ref="L5:M5"/>
    <mergeCell ref="N5:N6"/>
    <mergeCell ref="O5:O6"/>
    <mergeCell ref="P5:P6"/>
    <mergeCell ref="Q5:Q6"/>
    <mergeCell ref="A4:R4"/>
    <mergeCell ref="A5:A6"/>
    <mergeCell ref="B5:B6"/>
    <mergeCell ref="C5:C6"/>
    <mergeCell ref="D5:D6"/>
    <mergeCell ref="R5:R6"/>
    <mergeCell ref="E5:E6"/>
    <mergeCell ref="F5:F6"/>
    <mergeCell ref="G5:G6"/>
    <mergeCell ref="H5:H6"/>
    <mergeCell ref="I5:I6"/>
  </mergeCells>
  <pageMargins left="0.24" right="0.16" top="0.38" bottom="0.75" header="0.3" footer="0.3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57"/>
  <sheetViews>
    <sheetView tabSelected="1" topLeftCell="A2" workbookViewId="0">
      <selection activeCell="U12" sqref="U12"/>
    </sheetView>
  </sheetViews>
  <sheetFormatPr defaultColWidth="9" defaultRowHeight="15"/>
  <cols>
    <col min="1" max="1" width="4" style="170" customWidth="1"/>
    <col min="2" max="2" width="19.85546875" style="170" customWidth="1"/>
    <col min="3" max="3" width="8.7109375" style="170" customWidth="1"/>
    <col min="4" max="4" width="8.42578125" style="170" customWidth="1"/>
    <col min="5" max="5" width="6.140625" style="170" customWidth="1"/>
    <col min="6" max="6" width="4" style="775" customWidth="1"/>
    <col min="7" max="7" width="4.7109375" style="170" customWidth="1"/>
    <col min="8" max="8" width="5.42578125" style="170" customWidth="1"/>
    <col min="9" max="9" width="5" style="170" customWidth="1"/>
    <col min="10" max="10" width="4.7109375" style="170" customWidth="1"/>
    <col min="11" max="11" width="5.28515625" style="170" customWidth="1"/>
    <col min="12" max="12" width="5" style="170" customWidth="1"/>
    <col min="13" max="13" width="4.42578125" style="170" customWidth="1"/>
    <col min="14" max="14" width="5" style="170" customWidth="1"/>
    <col min="15" max="16" width="4" style="170" customWidth="1"/>
    <col min="17" max="17" width="6.140625" style="170" customWidth="1"/>
    <col min="18" max="18" width="4.85546875" style="170" customWidth="1"/>
    <col min="19" max="19" width="4.7109375" style="170" customWidth="1"/>
    <col min="20" max="20" width="9" style="170"/>
    <col min="21" max="21" width="28" style="170" customWidth="1"/>
    <col min="22" max="16384" width="9" style="170"/>
  </cols>
  <sheetData>
    <row r="1" spans="1:21" ht="18.75">
      <c r="A1" s="1315" t="s">
        <v>4</v>
      </c>
      <c r="B1" s="1315"/>
      <c r="C1" s="1315"/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  <c r="O1" s="1315"/>
      <c r="P1" s="1315"/>
      <c r="Q1" s="1315"/>
      <c r="R1" s="1315"/>
      <c r="S1" s="1315"/>
      <c r="T1" s="1315"/>
      <c r="U1" s="1315"/>
    </row>
    <row r="2" spans="1:21" ht="18.75">
      <c r="A2" s="741"/>
      <c r="B2" s="809" t="s">
        <v>479</v>
      </c>
      <c r="C2" s="741"/>
      <c r="D2" s="741"/>
      <c r="E2" s="741"/>
      <c r="F2" s="769"/>
      <c r="G2" s="316"/>
      <c r="H2" s="271"/>
      <c r="I2" s="271"/>
      <c r="J2" s="269"/>
      <c r="K2" s="271"/>
      <c r="L2" s="269"/>
      <c r="M2" s="269"/>
      <c r="N2" s="269"/>
      <c r="O2" s="269"/>
      <c r="P2" s="271"/>
      <c r="Q2" s="269"/>
      <c r="R2" s="269"/>
      <c r="S2" s="269"/>
      <c r="T2" s="523"/>
      <c r="U2" s="524"/>
    </row>
    <row r="3" spans="1:21">
      <c r="A3" s="1102" t="s">
        <v>51</v>
      </c>
      <c r="B3" s="1102" t="s">
        <v>6</v>
      </c>
      <c r="C3" s="1102" t="s">
        <v>7</v>
      </c>
      <c r="D3" s="1105" t="s">
        <v>8</v>
      </c>
      <c r="E3" s="1102" t="s">
        <v>9</v>
      </c>
      <c r="F3" s="1316" t="s">
        <v>151</v>
      </c>
      <c r="G3" s="1317"/>
      <c r="H3" s="1320" t="s">
        <v>11</v>
      </c>
      <c r="I3" s="1320"/>
      <c r="J3" s="1320"/>
      <c r="K3" s="1320"/>
      <c r="L3" s="1320"/>
      <c r="M3" s="1320"/>
      <c r="N3" s="1320"/>
      <c r="O3" s="1320"/>
      <c r="P3" s="1320"/>
      <c r="Q3" s="1320"/>
      <c r="R3" s="1320"/>
      <c r="S3" s="1320"/>
      <c r="T3" s="1320"/>
      <c r="U3" s="1080" t="s">
        <v>13</v>
      </c>
    </row>
    <row r="4" spans="1:21">
      <c r="A4" s="1103"/>
      <c r="B4" s="1103"/>
      <c r="C4" s="1103"/>
      <c r="D4" s="1103"/>
      <c r="E4" s="1103"/>
      <c r="F4" s="1318"/>
      <c r="G4" s="1319"/>
      <c r="H4" s="1096" t="s">
        <v>14</v>
      </c>
      <c r="I4" s="1097"/>
      <c r="J4" s="1098"/>
      <c r="K4" s="1096" t="s">
        <v>212</v>
      </c>
      <c r="L4" s="1097"/>
      <c r="M4" s="1098"/>
      <c r="N4" s="1096" t="s">
        <v>16</v>
      </c>
      <c r="O4" s="1097"/>
      <c r="P4" s="1097"/>
      <c r="Q4" s="1098"/>
      <c r="R4" s="1329" t="s">
        <v>150</v>
      </c>
      <c r="S4" s="1080" t="s">
        <v>239</v>
      </c>
      <c r="T4" s="1322" t="s">
        <v>19</v>
      </c>
      <c r="U4" s="1321"/>
    </row>
    <row r="5" spans="1:21">
      <c r="A5" s="1103"/>
      <c r="B5" s="1103"/>
      <c r="C5" s="1103"/>
      <c r="D5" s="1103"/>
      <c r="E5" s="1103"/>
      <c r="F5" s="1325" t="s">
        <v>255</v>
      </c>
      <c r="G5" s="1321" t="s">
        <v>9</v>
      </c>
      <c r="H5" s="1327" t="s">
        <v>20</v>
      </c>
      <c r="I5" s="1327" t="s">
        <v>21</v>
      </c>
      <c r="J5" s="1322" t="s">
        <v>22</v>
      </c>
      <c r="K5" s="1327" t="s">
        <v>20</v>
      </c>
      <c r="L5" s="1111" t="s">
        <v>21</v>
      </c>
      <c r="M5" s="1322" t="s">
        <v>22</v>
      </c>
      <c r="N5" s="1111" t="s">
        <v>23</v>
      </c>
      <c r="O5" s="1111" t="s">
        <v>21</v>
      </c>
      <c r="P5" s="1113" t="s">
        <v>22</v>
      </c>
      <c r="Q5" s="1113"/>
      <c r="R5" s="1330"/>
      <c r="S5" s="1321"/>
      <c r="T5" s="1323"/>
      <c r="U5" s="1321"/>
    </row>
    <row r="6" spans="1:21" ht="20.25" customHeight="1">
      <c r="A6" s="1104"/>
      <c r="B6" s="1104"/>
      <c r="C6" s="1104"/>
      <c r="D6" s="1104"/>
      <c r="E6" s="1104"/>
      <c r="F6" s="1326"/>
      <c r="G6" s="1081"/>
      <c r="H6" s="1328"/>
      <c r="I6" s="1328"/>
      <c r="J6" s="1324"/>
      <c r="K6" s="1328"/>
      <c r="L6" s="1112"/>
      <c r="M6" s="1324"/>
      <c r="N6" s="1112"/>
      <c r="O6" s="1112"/>
      <c r="P6" s="525" t="s">
        <v>24</v>
      </c>
      <c r="Q6" s="273" t="s">
        <v>473</v>
      </c>
      <c r="R6" s="1331"/>
      <c r="S6" s="1081"/>
      <c r="T6" s="1324"/>
      <c r="U6" s="1081"/>
    </row>
    <row r="7" spans="1:21">
      <c r="A7" s="1332" t="s">
        <v>688</v>
      </c>
      <c r="B7" s="1332"/>
      <c r="C7" s="509"/>
      <c r="D7" s="509"/>
      <c r="E7" s="509"/>
      <c r="F7" s="770"/>
      <c r="G7" s="742"/>
      <c r="H7" s="306"/>
      <c r="I7" s="306"/>
      <c r="J7" s="307"/>
      <c r="K7" s="526"/>
      <c r="L7" s="307"/>
      <c r="M7" s="308"/>
      <c r="N7" s="307"/>
      <c r="O7" s="307"/>
      <c r="P7" s="309"/>
      <c r="Q7" s="310"/>
      <c r="R7" s="310"/>
      <c r="S7" s="310"/>
      <c r="T7" s="742"/>
      <c r="U7" s="527"/>
    </row>
    <row r="8" spans="1:21">
      <c r="A8" s="311">
        <v>1</v>
      </c>
      <c r="B8" s="761" t="s">
        <v>265</v>
      </c>
      <c r="C8" s="762" t="s">
        <v>266</v>
      </c>
      <c r="D8" s="311" t="s">
        <v>31</v>
      </c>
      <c r="E8" s="312">
        <v>4.4000000000000004</v>
      </c>
      <c r="F8" s="771"/>
      <c r="G8" s="311"/>
      <c r="H8" s="313">
        <v>0.5</v>
      </c>
      <c r="I8" s="313"/>
      <c r="J8" s="313"/>
      <c r="K8" s="540">
        <v>0.2</v>
      </c>
      <c r="L8" s="313">
        <v>0</v>
      </c>
      <c r="M8" s="313">
        <f>K8-L8</f>
        <v>0.2</v>
      </c>
      <c r="N8" s="313">
        <v>60</v>
      </c>
      <c r="O8" s="313">
        <v>40</v>
      </c>
      <c r="P8" s="540">
        <f>N8-O8</f>
        <v>20</v>
      </c>
      <c r="Q8" s="314">
        <f>(E8+H8)*P8%</f>
        <v>0.98000000000000009</v>
      </c>
      <c r="R8" s="541">
        <v>0.1</v>
      </c>
      <c r="S8" s="314"/>
      <c r="T8" s="759">
        <f t="shared" ref="T8:T48" si="0">SUM(E8:S8)</f>
        <v>126.38</v>
      </c>
      <c r="U8" s="542" t="s">
        <v>386</v>
      </c>
    </row>
    <row r="9" spans="1:21">
      <c r="A9" s="274">
        <v>2</v>
      </c>
      <c r="B9" s="763" t="s">
        <v>267</v>
      </c>
      <c r="C9" s="764" t="s">
        <v>268</v>
      </c>
      <c r="D9" s="274">
        <v>6032</v>
      </c>
      <c r="E9" s="264">
        <v>2.66</v>
      </c>
      <c r="F9" s="522"/>
      <c r="G9" s="277"/>
      <c r="H9" s="275"/>
      <c r="I9" s="275"/>
      <c r="J9" s="275" t="s">
        <v>69</v>
      </c>
      <c r="K9" s="528">
        <v>0.2</v>
      </c>
      <c r="L9" s="275">
        <v>0</v>
      </c>
      <c r="M9" s="275">
        <f>K9-L9</f>
        <v>0.2</v>
      </c>
      <c r="N9" s="275"/>
      <c r="O9" s="275"/>
      <c r="P9" s="528">
        <f t="shared" ref="P9:P46" si="1">N9-O9</f>
        <v>0</v>
      </c>
      <c r="Q9" s="276" t="s">
        <v>69</v>
      </c>
      <c r="R9" s="315"/>
      <c r="S9" s="276"/>
      <c r="T9" s="748">
        <f t="shared" si="0"/>
        <v>3.0600000000000005</v>
      </c>
      <c r="U9" s="543" t="s">
        <v>461</v>
      </c>
    </row>
    <row r="10" spans="1:21">
      <c r="A10" s="274">
        <v>3</v>
      </c>
      <c r="B10" s="763" t="s">
        <v>48</v>
      </c>
      <c r="C10" s="765">
        <v>25802</v>
      </c>
      <c r="D10" s="274" t="s">
        <v>29</v>
      </c>
      <c r="E10" s="264">
        <v>3.46</v>
      </c>
      <c r="F10" s="522"/>
      <c r="G10" s="277"/>
      <c r="H10" s="275">
        <v>0.3</v>
      </c>
      <c r="I10" s="275">
        <v>0.3</v>
      </c>
      <c r="J10" s="275"/>
      <c r="K10" s="528">
        <v>0.2</v>
      </c>
      <c r="L10" s="275">
        <v>0</v>
      </c>
      <c r="M10" s="275">
        <f t="shared" ref="M10:M42" si="2">K10-L10</f>
        <v>0.2</v>
      </c>
      <c r="N10" s="275"/>
      <c r="O10" s="275"/>
      <c r="P10" s="528">
        <f t="shared" si="1"/>
        <v>0</v>
      </c>
      <c r="Q10" s="749"/>
      <c r="R10" s="529"/>
      <c r="S10" s="315">
        <v>0.4</v>
      </c>
      <c r="T10" s="748">
        <f t="shared" si="0"/>
        <v>4.8600000000000003</v>
      </c>
      <c r="U10" s="543" t="s">
        <v>462</v>
      </c>
    </row>
    <row r="11" spans="1:21">
      <c r="A11" s="274">
        <v>4</v>
      </c>
      <c r="B11" s="763" t="s">
        <v>280</v>
      </c>
      <c r="C11" s="764" t="s">
        <v>281</v>
      </c>
      <c r="D11" s="274" t="s">
        <v>31</v>
      </c>
      <c r="E11" s="264">
        <v>3.33</v>
      </c>
      <c r="F11" s="522"/>
      <c r="G11" s="277"/>
      <c r="H11" s="275">
        <v>0.4</v>
      </c>
      <c r="I11" s="275">
        <v>0.4</v>
      </c>
      <c r="J11" s="275">
        <f t="shared" ref="J11:J46" si="3">H11-I11</f>
        <v>0</v>
      </c>
      <c r="K11" s="528">
        <v>0.4</v>
      </c>
      <c r="L11" s="275">
        <v>0</v>
      </c>
      <c r="M11" s="275">
        <f t="shared" si="2"/>
        <v>0.4</v>
      </c>
      <c r="N11" s="275">
        <v>70</v>
      </c>
      <c r="O11" s="275"/>
      <c r="P11" s="528">
        <f t="shared" si="1"/>
        <v>70</v>
      </c>
      <c r="Q11" s="276" t="s">
        <v>69</v>
      </c>
      <c r="R11" s="315"/>
      <c r="S11" s="276"/>
      <c r="T11" s="748">
        <f t="shared" si="0"/>
        <v>144.93</v>
      </c>
      <c r="U11" s="543" t="s">
        <v>387</v>
      </c>
    </row>
    <row r="12" spans="1:21">
      <c r="A12" s="274">
        <v>5</v>
      </c>
      <c r="B12" s="763" t="s">
        <v>517</v>
      </c>
      <c r="C12" s="765">
        <v>31299</v>
      </c>
      <c r="D12" s="274" t="s">
        <v>31</v>
      </c>
      <c r="E12" s="264">
        <v>2.67</v>
      </c>
      <c r="F12" s="522"/>
      <c r="G12" s="277"/>
      <c r="H12" s="275">
        <v>0.3</v>
      </c>
      <c r="I12" s="275">
        <v>0.3</v>
      </c>
      <c r="J12" s="275"/>
      <c r="K12" s="528"/>
      <c r="L12" s="275"/>
      <c r="M12" s="275"/>
      <c r="N12" s="275">
        <v>60</v>
      </c>
      <c r="O12" s="275">
        <v>60</v>
      </c>
      <c r="P12" s="528"/>
      <c r="Q12" s="276"/>
      <c r="R12" s="315">
        <v>0.3</v>
      </c>
      <c r="S12" s="276"/>
      <c r="T12" s="748"/>
      <c r="U12" s="543" t="s">
        <v>689</v>
      </c>
    </row>
    <row r="13" spans="1:21">
      <c r="A13" s="274">
        <v>6</v>
      </c>
      <c r="B13" s="763" t="s">
        <v>269</v>
      </c>
      <c r="C13" s="765">
        <v>32633</v>
      </c>
      <c r="D13" s="274" t="s">
        <v>38</v>
      </c>
      <c r="E13" s="264">
        <v>2.46</v>
      </c>
      <c r="F13" s="522"/>
      <c r="G13" s="277"/>
      <c r="H13" s="275"/>
      <c r="I13" s="275"/>
      <c r="J13" s="275"/>
      <c r="K13" s="528">
        <v>0.4</v>
      </c>
      <c r="L13" s="275">
        <v>0</v>
      </c>
      <c r="M13" s="275">
        <f t="shared" si="2"/>
        <v>0.4</v>
      </c>
      <c r="N13" s="275">
        <v>70</v>
      </c>
      <c r="O13" s="275"/>
      <c r="P13" s="528">
        <f t="shared" si="1"/>
        <v>70</v>
      </c>
      <c r="Q13" s="276" t="s">
        <v>69</v>
      </c>
      <c r="R13" s="315"/>
      <c r="S13" s="276"/>
      <c r="T13" s="748">
        <f t="shared" si="0"/>
        <v>143.26</v>
      </c>
      <c r="U13" s="543" t="s">
        <v>388</v>
      </c>
    </row>
    <row r="14" spans="1:21">
      <c r="A14" s="274">
        <v>7</v>
      </c>
      <c r="B14" s="763" t="s">
        <v>270</v>
      </c>
      <c r="C14" s="765">
        <v>32479</v>
      </c>
      <c r="D14" s="274" t="s">
        <v>38</v>
      </c>
      <c r="E14" s="264">
        <v>2.46</v>
      </c>
      <c r="F14" s="522"/>
      <c r="G14" s="277"/>
      <c r="H14" s="275"/>
      <c r="I14" s="275"/>
      <c r="J14" s="275"/>
      <c r="K14" s="528">
        <v>0</v>
      </c>
      <c r="L14" s="275">
        <v>0</v>
      </c>
      <c r="M14" s="275">
        <f t="shared" si="2"/>
        <v>0</v>
      </c>
      <c r="N14" s="275">
        <v>50</v>
      </c>
      <c r="O14" s="275"/>
      <c r="P14" s="528">
        <f t="shared" si="1"/>
        <v>50</v>
      </c>
      <c r="Q14" s="276">
        <f t="shared" ref="Q14:Q47" si="4">(E14+J14)*P14%</f>
        <v>1.23</v>
      </c>
      <c r="R14" s="315">
        <v>0.3</v>
      </c>
      <c r="S14" s="276"/>
      <c r="T14" s="748">
        <f t="shared" si="0"/>
        <v>103.99000000000001</v>
      </c>
      <c r="U14" s="543" t="s">
        <v>389</v>
      </c>
    </row>
    <row r="15" spans="1:21">
      <c r="A15" s="274">
        <v>8</v>
      </c>
      <c r="B15" s="763" t="s">
        <v>523</v>
      </c>
      <c r="C15" s="765">
        <v>32857</v>
      </c>
      <c r="D15" s="274" t="s">
        <v>29</v>
      </c>
      <c r="E15" s="264">
        <v>2.46</v>
      </c>
      <c r="F15" s="522"/>
      <c r="G15" s="277"/>
      <c r="H15" s="275"/>
      <c r="I15" s="275"/>
      <c r="J15" s="275"/>
      <c r="K15" s="528"/>
      <c r="L15" s="275"/>
      <c r="M15" s="275"/>
      <c r="N15" s="275">
        <v>50</v>
      </c>
      <c r="O15" s="275">
        <v>40</v>
      </c>
      <c r="P15" s="528">
        <f t="shared" si="1"/>
        <v>10</v>
      </c>
      <c r="Q15" s="276">
        <f t="shared" ref="Q15" si="5">(E15+J15)*P15%</f>
        <v>0.246</v>
      </c>
      <c r="R15" s="315">
        <v>1.3</v>
      </c>
      <c r="S15" s="276"/>
      <c r="T15" s="748">
        <f t="shared" ref="T15" si="6">SUM(E15:S15)</f>
        <v>104.006</v>
      </c>
      <c r="U15" s="543" t="s">
        <v>684</v>
      </c>
    </row>
    <row r="16" spans="1:21" ht="24.75" customHeight="1">
      <c r="A16" s="274">
        <v>9</v>
      </c>
      <c r="B16" s="763" t="s">
        <v>390</v>
      </c>
      <c r="C16" s="765">
        <v>30766</v>
      </c>
      <c r="D16" s="274" t="s">
        <v>31</v>
      </c>
      <c r="E16" s="264">
        <v>2.67</v>
      </c>
      <c r="F16" s="522"/>
      <c r="G16" s="277"/>
      <c r="H16" s="275"/>
      <c r="I16" s="275"/>
      <c r="J16" s="275"/>
      <c r="K16" s="528"/>
      <c r="L16" s="275"/>
      <c r="M16" s="275">
        <f t="shared" si="2"/>
        <v>0</v>
      </c>
      <c r="N16" s="275">
        <v>60</v>
      </c>
      <c r="O16" s="275">
        <v>50</v>
      </c>
      <c r="P16" s="528">
        <f t="shared" si="1"/>
        <v>10</v>
      </c>
      <c r="Q16" s="276">
        <f t="shared" si="4"/>
        <v>0.26700000000000002</v>
      </c>
      <c r="R16" s="315">
        <v>0.3</v>
      </c>
      <c r="S16" s="276"/>
      <c r="T16" s="748">
        <f t="shared" si="0"/>
        <v>123.23699999999999</v>
      </c>
      <c r="U16" s="544" t="s">
        <v>391</v>
      </c>
    </row>
    <row r="17" spans="1:21">
      <c r="A17" s="274">
        <v>10</v>
      </c>
      <c r="B17" s="763" t="s">
        <v>271</v>
      </c>
      <c r="C17" s="765">
        <v>32419</v>
      </c>
      <c r="D17" s="274" t="s">
        <v>38</v>
      </c>
      <c r="E17" s="264">
        <v>2.66</v>
      </c>
      <c r="F17" s="522"/>
      <c r="G17" s="277"/>
      <c r="H17" s="275">
        <v>0</v>
      </c>
      <c r="I17" s="275">
        <v>0.3</v>
      </c>
      <c r="J17" s="275">
        <f t="shared" si="3"/>
        <v>-0.3</v>
      </c>
      <c r="K17" s="528"/>
      <c r="L17" s="275"/>
      <c r="M17" s="275">
        <f t="shared" si="2"/>
        <v>0</v>
      </c>
      <c r="N17" s="275">
        <v>60</v>
      </c>
      <c r="O17" s="275">
        <v>40</v>
      </c>
      <c r="P17" s="528">
        <f t="shared" si="1"/>
        <v>20</v>
      </c>
      <c r="Q17" s="276">
        <f t="shared" si="4"/>
        <v>0.47200000000000009</v>
      </c>
      <c r="R17" s="315">
        <v>0.3</v>
      </c>
      <c r="S17" s="276"/>
      <c r="T17" s="748">
        <f t="shared" si="0"/>
        <v>123.43199999999999</v>
      </c>
      <c r="U17" s="543" t="s">
        <v>392</v>
      </c>
    </row>
    <row r="18" spans="1:21">
      <c r="A18" s="274">
        <v>11</v>
      </c>
      <c r="B18" s="763" t="s">
        <v>272</v>
      </c>
      <c r="C18" s="764" t="s">
        <v>273</v>
      </c>
      <c r="D18" s="274" t="s">
        <v>29</v>
      </c>
      <c r="E18" s="264">
        <v>2.67</v>
      </c>
      <c r="F18" s="522"/>
      <c r="G18" s="277"/>
      <c r="H18" s="275"/>
      <c r="I18" s="275"/>
      <c r="J18" s="275"/>
      <c r="K18" s="528">
        <v>0.2</v>
      </c>
      <c r="L18" s="275">
        <v>0</v>
      </c>
      <c r="M18" s="275">
        <f t="shared" si="2"/>
        <v>0.2</v>
      </c>
      <c r="N18" s="275">
        <v>50</v>
      </c>
      <c r="O18" s="275">
        <v>40</v>
      </c>
      <c r="P18" s="528">
        <f t="shared" si="1"/>
        <v>10</v>
      </c>
      <c r="Q18" s="276">
        <f t="shared" si="4"/>
        <v>0.26700000000000002</v>
      </c>
      <c r="R18" s="315"/>
      <c r="S18" s="276"/>
      <c r="T18" s="748">
        <f t="shared" si="0"/>
        <v>103.33699999999999</v>
      </c>
      <c r="U18" s="543" t="s">
        <v>393</v>
      </c>
    </row>
    <row r="19" spans="1:21">
      <c r="A19" s="274">
        <v>12</v>
      </c>
      <c r="B19" s="763" t="s">
        <v>274</v>
      </c>
      <c r="C19" s="764" t="s">
        <v>275</v>
      </c>
      <c r="D19" s="274" t="s">
        <v>29</v>
      </c>
      <c r="E19" s="264">
        <v>3.46</v>
      </c>
      <c r="F19" s="522"/>
      <c r="G19" s="277"/>
      <c r="H19" s="275"/>
      <c r="I19" s="275"/>
      <c r="J19" s="275"/>
      <c r="K19" s="528"/>
      <c r="L19" s="275"/>
      <c r="M19" s="275">
        <f t="shared" si="2"/>
        <v>0</v>
      </c>
      <c r="N19" s="275">
        <v>60</v>
      </c>
      <c r="O19" s="275">
        <v>50</v>
      </c>
      <c r="P19" s="528">
        <f t="shared" si="1"/>
        <v>10</v>
      </c>
      <c r="Q19" s="276">
        <f t="shared" si="4"/>
        <v>0.34600000000000003</v>
      </c>
      <c r="R19" s="315">
        <v>0.3</v>
      </c>
      <c r="S19" s="276"/>
      <c r="T19" s="748">
        <f t="shared" si="0"/>
        <v>124.10600000000001</v>
      </c>
      <c r="U19" s="543" t="s">
        <v>392</v>
      </c>
    </row>
    <row r="20" spans="1:21">
      <c r="A20" s="274">
        <v>13</v>
      </c>
      <c r="B20" s="763" t="s">
        <v>276</v>
      </c>
      <c r="C20" s="765">
        <v>32051</v>
      </c>
      <c r="D20" s="274" t="s">
        <v>38</v>
      </c>
      <c r="E20" s="264">
        <v>2.92</v>
      </c>
      <c r="F20" s="522"/>
      <c r="G20" s="277"/>
      <c r="H20" s="275">
        <v>0.3</v>
      </c>
      <c r="I20" s="275">
        <v>0.3</v>
      </c>
      <c r="J20" s="275">
        <f t="shared" si="3"/>
        <v>0</v>
      </c>
      <c r="K20" s="528">
        <v>0.2</v>
      </c>
      <c r="L20" s="275">
        <v>0</v>
      </c>
      <c r="M20" s="275">
        <f t="shared" si="2"/>
        <v>0.2</v>
      </c>
      <c r="N20" s="275">
        <v>50</v>
      </c>
      <c r="O20" s="275"/>
      <c r="P20" s="528">
        <f t="shared" si="1"/>
        <v>50</v>
      </c>
      <c r="Q20" s="276">
        <f t="shared" si="4"/>
        <v>1.46</v>
      </c>
      <c r="R20" s="315"/>
      <c r="S20" s="276"/>
      <c r="T20" s="748">
        <f t="shared" si="0"/>
        <v>105.38</v>
      </c>
      <c r="U20" s="543" t="s">
        <v>394</v>
      </c>
    </row>
    <row r="21" spans="1:21">
      <c r="A21" s="274">
        <v>14</v>
      </c>
      <c r="B21" s="763" t="s">
        <v>277</v>
      </c>
      <c r="C21" s="764" t="s">
        <v>278</v>
      </c>
      <c r="D21" s="274" t="s">
        <v>29</v>
      </c>
      <c r="E21" s="264">
        <v>4.0599999999999996</v>
      </c>
      <c r="F21" s="522">
        <v>6</v>
      </c>
      <c r="G21" s="277">
        <f>E21*F21%</f>
        <v>0.24359999999999996</v>
      </c>
      <c r="H21" s="275"/>
      <c r="I21" s="275"/>
      <c r="J21" s="275"/>
      <c r="K21" s="528">
        <v>0.2</v>
      </c>
      <c r="L21" s="275">
        <v>0</v>
      </c>
      <c r="M21" s="275">
        <f t="shared" si="2"/>
        <v>0.2</v>
      </c>
      <c r="N21" s="275">
        <v>50</v>
      </c>
      <c r="O21" s="275">
        <v>40</v>
      </c>
      <c r="P21" s="528">
        <f t="shared" si="1"/>
        <v>10</v>
      </c>
      <c r="Q21" s="276">
        <f t="shared" si="4"/>
        <v>0.40599999999999997</v>
      </c>
      <c r="R21" s="315"/>
      <c r="S21" s="276"/>
      <c r="T21" s="748">
        <f t="shared" si="0"/>
        <v>111.1096</v>
      </c>
      <c r="U21" s="543" t="s">
        <v>395</v>
      </c>
    </row>
    <row r="22" spans="1:21">
      <c r="A22" s="274">
        <v>15</v>
      </c>
      <c r="B22" s="763" t="s">
        <v>396</v>
      </c>
      <c r="C22" s="765">
        <v>32180</v>
      </c>
      <c r="D22" s="274" t="s">
        <v>38</v>
      </c>
      <c r="E22" s="264">
        <v>2.46</v>
      </c>
      <c r="F22" s="522"/>
      <c r="G22" s="277"/>
      <c r="H22" s="275"/>
      <c r="I22" s="275"/>
      <c r="J22" s="275"/>
      <c r="K22" s="528">
        <v>0.2</v>
      </c>
      <c r="L22" s="275">
        <v>0</v>
      </c>
      <c r="M22" s="275">
        <f t="shared" si="2"/>
        <v>0.2</v>
      </c>
      <c r="N22" s="275"/>
      <c r="O22" s="275"/>
      <c r="P22" s="528"/>
      <c r="Q22" s="276"/>
      <c r="R22" s="315"/>
      <c r="S22" s="276"/>
      <c r="T22" s="748">
        <f t="shared" si="0"/>
        <v>2.8600000000000003</v>
      </c>
      <c r="U22" s="543" t="s">
        <v>397</v>
      </c>
    </row>
    <row r="23" spans="1:21">
      <c r="A23" s="274">
        <v>16</v>
      </c>
      <c r="B23" s="763" t="s">
        <v>166</v>
      </c>
      <c r="C23" s="764" t="s">
        <v>279</v>
      </c>
      <c r="D23" s="274" t="s">
        <v>29</v>
      </c>
      <c r="E23" s="264">
        <v>2.86</v>
      </c>
      <c r="F23" s="522"/>
      <c r="G23" s="277"/>
      <c r="H23" s="275"/>
      <c r="I23" s="275"/>
      <c r="J23" s="275"/>
      <c r="K23" s="528">
        <v>0.2</v>
      </c>
      <c r="L23" s="275">
        <v>0</v>
      </c>
      <c r="M23" s="275">
        <f t="shared" si="2"/>
        <v>0.2</v>
      </c>
      <c r="N23" s="275">
        <v>40</v>
      </c>
      <c r="O23" s="275"/>
      <c r="P23" s="528">
        <f t="shared" si="1"/>
        <v>40</v>
      </c>
      <c r="Q23" s="276">
        <f t="shared" si="4"/>
        <v>1.1439999999999999</v>
      </c>
      <c r="R23" s="315"/>
      <c r="S23" s="276"/>
      <c r="T23" s="748">
        <f t="shared" si="0"/>
        <v>84.403999999999996</v>
      </c>
      <c r="U23" s="543" t="s">
        <v>397</v>
      </c>
    </row>
    <row r="24" spans="1:21">
      <c r="A24" s="274">
        <v>17</v>
      </c>
      <c r="B24" s="763" t="s">
        <v>283</v>
      </c>
      <c r="C24" s="765" t="s">
        <v>398</v>
      </c>
      <c r="D24" s="274" t="s">
        <v>31</v>
      </c>
      <c r="E24" s="264">
        <v>3</v>
      </c>
      <c r="F24" s="522"/>
      <c r="G24" s="277"/>
      <c r="H24" s="275">
        <v>0.4</v>
      </c>
      <c r="I24" s="275">
        <v>0.4</v>
      </c>
      <c r="J24" s="275">
        <f t="shared" si="3"/>
        <v>0</v>
      </c>
      <c r="K24" s="528">
        <v>0.2</v>
      </c>
      <c r="L24" s="275">
        <v>0</v>
      </c>
      <c r="M24" s="275">
        <f t="shared" si="2"/>
        <v>0.2</v>
      </c>
      <c r="N24" s="275">
        <v>60</v>
      </c>
      <c r="O24" s="275">
        <v>40</v>
      </c>
      <c r="P24" s="528">
        <f t="shared" si="1"/>
        <v>20</v>
      </c>
      <c r="Q24" s="276">
        <f>(E24+J24+H24)*P24%</f>
        <v>0.68</v>
      </c>
      <c r="R24" s="315">
        <v>0.3</v>
      </c>
      <c r="S24" s="276"/>
      <c r="T24" s="748">
        <f t="shared" si="0"/>
        <v>125.18</v>
      </c>
      <c r="U24" s="543" t="s">
        <v>386</v>
      </c>
    </row>
    <row r="25" spans="1:21">
      <c r="A25" s="274">
        <v>18</v>
      </c>
      <c r="B25" s="763" t="s">
        <v>284</v>
      </c>
      <c r="C25" s="765">
        <v>23892</v>
      </c>
      <c r="D25" s="274" t="s">
        <v>36</v>
      </c>
      <c r="E25" s="264">
        <v>4.0599999999999996</v>
      </c>
      <c r="F25" s="522">
        <v>11</v>
      </c>
      <c r="G25" s="277">
        <f t="shared" ref="G25:G46" si="7">E25*F25%</f>
        <v>0.44659999999999994</v>
      </c>
      <c r="H25" s="275"/>
      <c r="I25" s="275"/>
      <c r="J25" s="275"/>
      <c r="K25" s="528">
        <v>0.2</v>
      </c>
      <c r="L25" s="275">
        <v>0</v>
      </c>
      <c r="M25" s="275">
        <f t="shared" si="2"/>
        <v>0.2</v>
      </c>
      <c r="N25" s="275">
        <v>40</v>
      </c>
      <c r="O25" s="275"/>
      <c r="P25" s="528">
        <f t="shared" si="1"/>
        <v>40</v>
      </c>
      <c r="Q25" s="276">
        <f t="shared" si="4"/>
        <v>1.6239999999999999</v>
      </c>
      <c r="R25" s="315"/>
      <c r="S25" s="276"/>
      <c r="T25" s="748">
        <f t="shared" si="0"/>
        <v>97.530599999999993</v>
      </c>
      <c r="U25" s="543"/>
    </row>
    <row r="26" spans="1:21">
      <c r="A26" s="274">
        <v>19</v>
      </c>
      <c r="B26" s="763" t="s">
        <v>285</v>
      </c>
      <c r="C26" s="765">
        <v>25123</v>
      </c>
      <c r="D26" s="274" t="s">
        <v>36</v>
      </c>
      <c r="E26" s="264">
        <v>4.0599999999999996</v>
      </c>
      <c r="F26" s="522">
        <v>8</v>
      </c>
      <c r="G26" s="277">
        <f t="shared" si="7"/>
        <v>0.32479999999999998</v>
      </c>
      <c r="H26" s="275"/>
      <c r="I26" s="275"/>
      <c r="J26" s="275"/>
      <c r="K26" s="528">
        <v>0.2</v>
      </c>
      <c r="L26" s="275">
        <v>0</v>
      </c>
      <c r="M26" s="275">
        <f t="shared" si="2"/>
        <v>0.2</v>
      </c>
      <c r="N26" s="275">
        <v>60</v>
      </c>
      <c r="O26" s="275">
        <v>40</v>
      </c>
      <c r="P26" s="528">
        <f t="shared" si="1"/>
        <v>20</v>
      </c>
      <c r="Q26" s="276">
        <f t="shared" si="4"/>
        <v>0.81199999999999994</v>
      </c>
      <c r="R26" s="315">
        <v>0.3</v>
      </c>
      <c r="S26" s="276"/>
      <c r="T26" s="748">
        <f t="shared" si="0"/>
        <v>133.89680000000001</v>
      </c>
      <c r="U26" s="543"/>
    </row>
    <row r="27" spans="1:21">
      <c r="A27" s="274">
        <v>20</v>
      </c>
      <c r="B27" s="763" t="s">
        <v>286</v>
      </c>
      <c r="C27" s="764" t="s">
        <v>287</v>
      </c>
      <c r="D27" s="274" t="s">
        <v>36</v>
      </c>
      <c r="E27" s="264">
        <v>2.46</v>
      </c>
      <c r="F27" s="522"/>
      <c r="G27" s="277"/>
      <c r="H27" s="275">
        <v>0.3</v>
      </c>
      <c r="I27" s="275">
        <v>0</v>
      </c>
      <c r="J27" s="275">
        <f t="shared" si="3"/>
        <v>0.3</v>
      </c>
      <c r="K27" s="528">
        <v>0.2</v>
      </c>
      <c r="L27" s="275">
        <v>0</v>
      </c>
      <c r="M27" s="275">
        <f t="shared" si="2"/>
        <v>0.2</v>
      </c>
      <c r="N27" s="275">
        <v>60</v>
      </c>
      <c r="O27" s="275">
        <v>40</v>
      </c>
      <c r="P27" s="528">
        <f t="shared" si="1"/>
        <v>20</v>
      </c>
      <c r="Q27" s="276">
        <f t="shared" si="4"/>
        <v>0.55199999999999994</v>
      </c>
      <c r="R27" s="315">
        <v>0.3</v>
      </c>
      <c r="S27" s="276"/>
      <c r="T27" s="748">
        <f t="shared" si="0"/>
        <v>124.31200000000001</v>
      </c>
      <c r="U27" s="543" t="s">
        <v>467</v>
      </c>
    </row>
    <row r="28" spans="1:21">
      <c r="A28" s="274">
        <v>21</v>
      </c>
      <c r="B28" s="763" t="s">
        <v>167</v>
      </c>
      <c r="C28" s="764" t="s">
        <v>288</v>
      </c>
      <c r="D28" s="274" t="s">
        <v>36</v>
      </c>
      <c r="E28" s="264">
        <v>2.86</v>
      </c>
      <c r="F28" s="522"/>
      <c r="G28" s="277"/>
      <c r="H28" s="275"/>
      <c r="I28" s="275"/>
      <c r="J28" s="275"/>
      <c r="K28" s="528">
        <v>0.2</v>
      </c>
      <c r="L28" s="275">
        <v>0</v>
      </c>
      <c r="M28" s="275">
        <f t="shared" si="2"/>
        <v>0.2</v>
      </c>
      <c r="N28" s="275">
        <v>40</v>
      </c>
      <c r="O28" s="275"/>
      <c r="P28" s="528">
        <f t="shared" si="1"/>
        <v>40</v>
      </c>
      <c r="Q28" s="276">
        <f t="shared" si="4"/>
        <v>1.1439999999999999</v>
      </c>
      <c r="R28" s="315"/>
      <c r="S28" s="276"/>
      <c r="T28" s="748">
        <f t="shared" si="0"/>
        <v>84.403999999999996</v>
      </c>
      <c r="U28" s="543"/>
    </row>
    <row r="29" spans="1:21">
      <c r="A29" s="274">
        <v>22</v>
      </c>
      <c r="B29" s="763" t="s">
        <v>282</v>
      </c>
      <c r="C29" s="765">
        <v>31922</v>
      </c>
      <c r="D29" s="274" t="s">
        <v>466</v>
      </c>
      <c r="E29" s="264">
        <v>2.46</v>
      </c>
      <c r="F29" s="522"/>
      <c r="G29" s="277"/>
      <c r="H29" s="530"/>
      <c r="I29" s="275"/>
      <c r="J29" s="275"/>
      <c r="K29" s="554">
        <v>0.2</v>
      </c>
      <c r="L29" s="555">
        <v>0</v>
      </c>
      <c r="M29" s="275">
        <f t="shared" si="2"/>
        <v>0.2</v>
      </c>
      <c r="N29" s="555">
        <v>60</v>
      </c>
      <c r="O29" s="275">
        <v>40</v>
      </c>
      <c r="P29" s="528">
        <f t="shared" si="1"/>
        <v>20</v>
      </c>
      <c r="Q29" s="276">
        <f t="shared" si="4"/>
        <v>0.49199999999999999</v>
      </c>
      <c r="R29" s="315"/>
      <c r="S29" s="276"/>
      <c r="T29" s="748">
        <f t="shared" si="0"/>
        <v>123.352</v>
      </c>
      <c r="U29" s="543" t="s">
        <v>685</v>
      </c>
    </row>
    <row r="30" spans="1:21">
      <c r="A30" s="274">
        <v>23</v>
      </c>
      <c r="B30" s="763" t="s">
        <v>399</v>
      </c>
      <c r="C30" s="765">
        <v>32009</v>
      </c>
      <c r="D30" s="274" t="s">
        <v>34</v>
      </c>
      <c r="E30" s="264">
        <v>2.66</v>
      </c>
      <c r="F30" s="522"/>
      <c r="G30" s="277"/>
      <c r="H30" s="275"/>
      <c r="I30" s="275"/>
      <c r="J30" s="275"/>
      <c r="K30" s="528">
        <v>0.4</v>
      </c>
      <c r="L30" s="552">
        <v>0</v>
      </c>
      <c r="M30" s="275">
        <f t="shared" si="2"/>
        <v>0.4</v>
      </c>
      <c r="N30" s="275"/>
      <c r="O30" s="275"/>
      <c r="P30" s="528">
        <f t="shared" si="1"/>
        <v>0</v>
      </c>
      <c r="Q30" s="276"/>
      <c r="R30" s="315"/>
      <c r="S30" s="276"/>
      <c r="T30" s="748">
        <f t="shared" si="0"/>
        <v>3.46</v>
      </c>
      <c r="U30" s="543" t="s">
        <v>400</v>
      </c>
    </row>
    <row r="31" spans="1:21">
      <c r="A31" s="274">
        <v>24</v>
      </c>
      <c r="B31" s="763" t="s">
        <v>401</v>
      </c>
      <c r="C31" s="765">
        <v>25752</v>
      </c>
      <c r="D31" s="274" t="s">
        <v>34</v>
      </c>
      <c r="E31" s="264">
        <v>4.0599999999999996</v>
      </c>
      <c r="F31" s="522"/>
      <c r="G31" s="277"/>
      <c r="H31" s="275"/>
      <c r="I31" s="275"/>
      <c r="J31" s="275"/>
      <c r="K31" s="528">
        <v>0.4</v>
      </c>
      <c r="L31" s="552">
        <v>0</v>
      </c>
      <c r="M31" s="275">
        <f t="shared" si="2"/>
        <v>0.4</v>
      </c>
      <c r="N31" s="275"/>
      <c r="O31" s="278"/>
      <c r="P31" s="528">
        <f t="shared" si="1"/>
        <v>0</v>
      </c>
      <c r="Q31" s="276"/>
      <c r="R31" s="315"/>
      <c r="S31" s="276"/>
      <c r="T31" s="748">
        <f t="shared" si="0"/>
        <v>4.8600000000000003</v>
      </c>
      <c r="U31" s="543" t="s">
        <v>402</v>
      </c>
    </row>
    <row r="32" spans="1:21">
      <c r="A32" s="274">
        <v>25</v>
      </c>
      <c r="B32" s="766" t="s">
        <v>468</v>
      </c>
      <c r="C32" s="765">
        <v>32372</v>
      </c>
      <c r="D32" s="274" t="s">
        <v>31</v>
      </c>
      <c r="E32" s="264">
        <v>2.67</v>
      </c>
      <c r="F32" s="522"/>
      <c r="G32" s="277"/>
      <c r="H32" s="275"/>
      <c r="I32" s="275"/>
      <c r="J32" s="275"/>
      <c r="K32" s="528">
        <v>0</v>
      </c>
      <c r="L32" s="552">
        <v>0.4</v>
      </c>
      <c r="M32" s="275">
        <f t="shared" si="2"/>
        <v>-0.4</v>
      </c>
      <c r="N32" s="275">
        <v>40</v>
      </c>
      <c r="O32" s="278">
        <v>70</v>
      </c>
      <c r="P32" s="528">
        <f t="shared" si="1"/>
        <v>-30</v>
      </c>
      <c r="Q32" s="276"/>
      <c r="R32" s="315"/>
      <c r="S32" s="276"/>
      <c r="T32" s="748">
        <f t="shared" si="0"/>
        <v>82.67</v>
      </c>
      <c r="U32" s="760" t="s">
        <v>470</v>
      </c>
    </row>
    <row r="33" spans="1:21">
      <c r="A33" s="274">
        <v>26</v>
      </c>
      <c r="B33" s="766" t="s">
        <v>289</v>
      </c>
      <c r="C33" s="764" t="s">
        <v>290</v>
      </c>
      <c r="D33" s="274" t="s">
        <v>31</v>
      </c>
      <c r="E33" s="264">
        <v>4.9800000000000004</v>
      </c>
      <c r="F33" s="522"/>
      <c r="G33" s="277"/>
      <c r="H33" s="275">
        <v>0.4</v>
      </c>
      <c r="I33" s="275">
        <v>0.4</v>
      </c>
      <c r="J33" s="275">
        <f t="shared" si="3"/>
        <v>0</v>
      </c>
      <c r="K33" s="528">
        <v>0.4</v>
      </c>
      <c r="L33" s="275">
        <v>0</v>
      </c>
      <c r="M33" s="275">
        <f t="shared" si="2"/>
        <v>0.4</v>
      </c>
      <c r="N33" s="275">
        <v>70</v>
      </c>
      <c r="O33" s="275">
        <v>40</v>
      </c>
      <c r="P33" s="528">
        <f t="shared" si="1"/>
        <v>30</v>
      </c>
      <c r="Q33" s="276">
        <f t="shared" si="4"/>
        <v>1.494</v>
      </c>
      <c r="R33" s="315"/>
      <c r="S33" s="276"/>
      <c r="T33" s="748">
        <f t="shared" si="0"/>
        <v>148.07399999999998</v>
      </c>
      <c r="U33" s="760" t="s">
        <v>471</v>
      </c>
    </row>
    <row r="34" spans="1:21">
      <c r="A34" s="274">
        <v>27</v>
      </c>
      <c r="B34" s="766" t="s">
        <v>469</v>
      </c>
      <c r="C34" s="765">
        <v>26137</v>
      </c>
      <c r="D34" s="274" t="s">
        <v>31</v>
      </c>
      <c r="E34" s="264">
        <v>3.99</v>
      </c>
      <c r="F34" s="522"/>
      <c r="G34" s="277"/>
      <c r="H34" s="275">
        <v>0.4</v>
      </c>
      <c r="I34" s="275">
        <v>0.4</v>
      </c>
      <c r="J34" s="275">
        <f t="shared" si="3"/>
        <v>0</v>
      </c>
      <c r="K34" s="528">
        <v>0.4</v>
      </c>
      <c r="L34" s="275">
        <v>0</v>
      </c>
      <c r="M34" s="275">
        <f t="shared" si="2"/>
        <v>0.4</v>
      </c>
      <c r="N34" s="275">
        <v>70</v>
      </c>
      <c r="O34" s="275">
        <v>40</v>
      </c>
      <c r="P34" s="528">
        <f t="shared" si="1"/>
        <v>30</v>
      </c>
      <c r="Q34" s="276">
        <f t="shared" si="4"/>
        <v>1.1970000000000001</v>
      </c>
      <c r="R34" s="315"/>
      <c r="S34" s="276"/>
      <c r="T34" s="748">
        <f t="shared" si="0"/>
        <v>146.78700000000001</v>
      </c>
      <c r="U34" s="760" t="s">
        <v>472</v>
      </c>
    </row>
    <row r="35" spans="1:21">
      <c r="A35" s="274">
        <v>28</v>
      </c>
      <c r="B35" s="763" t="s">
        <v>291</v>
      </c>
      <c r="C35" s="765">
        <v>32552</v>
      </c>
      <c r="D35" s="274" t="s">
        <v>29</v>
      </c>
      <c r="E35" s="264">
        <v>2.46</v>
      </c>
      <c r="F35" s="522"/>
      <c r="G35" s="277"/>
      <c r="H35" s="1416"/>
      <c r="I35" s="275"/>
      <c r="J35" s="275"/>
      <c r="K35" s="528">
        <v>0.4</v>
      </c>
      <c r="L35" s="275">
        <v>0</v>
      </c>
      <c r="M35" s="275">
        <f t="shared" si="2"/>
        <v>0.4</v>
      </c>
      <c r="N35" s="275">
        <v>70</v>
      </c>
      <c r="O35" s="275"/>
      <c r="P35" s="528">
        <f t="shared" si="1"/>
        <v>70</v>
      </c>
      <c r="Q35" s="276">
        <f t="shared" si="4"/>
        <v>1.722</v>
      </c>
      <c r="R35" s="315"/>
      <c r="S35" s="276"/>
      <c r="T35" s="748">
        <f t="shared" si="0"/>
        <v>144.982</v>
      </c>
      <c r="U35" s="760" t="s">
        <v>686</v>
      </c>
    </row>
    <row r="36" spans="1:21">
      <c r="A36" s="274">
        <v>29</v>
      </c>
      <c r="B36" s="763" t="s">
        <v>292</v>
      </c>
      <c r="C36" s="764" t="s">
        <v>293</v>
      </c>
      <c r="D36" s="274" t="s">
        <v>38</v>
      </c>
      <c r="E36" s="264">
        <v>2.46</v>
      </c>
      <c r="F36" s="522"/>
      <c r="G36" s="277"/>
      <c r="H36" s="275"/>
      <c r="I36" s="275"/>
      <c r="J36" s="275"/>
      <c r="K36" s="528">
        <v>0.4</v>
      </c>
      <c r="L36" s="275">
        <v>0</v>
      </c>
      <c r="M36" s="275">
        <f t="shared" si="2"/>
        <v>0.4</v>
      </c>
      <c r="N36" s="275">
        <v>70</v>
      </c>
      <c r="O36" s="275"/>
      <c r="P36" s="528">
        <f t="shared" si="1"/>
        <v>70</v>
      </c>
      <c r="Q36" s="276">
        <f t="shared" si="4"/>
        <v>1.722</v>
      </c>
      <c r="R36" s="315"/>
      <c r="S36" s="276"/>
      <c r="T36" s="748">
        <f t="shared" si="0"/>
        <v>144.982</v>
      </c>
      <c r="U36" s="760" t="s">
        <v>687</v>
      </c>
    </row>
    <row r="37" spans="1:21">
      <c r="A37" s="274">
        <v>30</v>
      </c>
      <c r="B37" s="763" t="s">
        <v>294</v>
      </c>
      <c r="C37" s="764" t="s">
        <v>295</v>
      </c>
      <c r="D37" s="274" t="s">
        <v>29</v>
      </c>
      <c r="E37" s="264">
        <v>4.0599999999999996</v>
      </c>
      <c r="F37" s="522"/>
      <c r="G37" s="277"/>
      <c r="H37" s="275"/>
      <c r="I37" s="275"/>
      <c r="J37" s="275"/>
      <c r="K37" s="528"/>
      <c r="L37" s="275"/>
      <c r="M37" s="275">
        <f t="shared" si="2"/>
        <v>0</v>
      </c>
      <c r="N37" s="275">
        <v>40</v>
      </c>
      <c r="O37" s="275"/>
      <c r="P37" s="528">
        <f t="shared" si="1"/>
        <v>40</v>
      </c>
      <c r="Q37" s="276">
        <f t="shared" si="4"/>
        <v>1.6239999999999999</v>
      </c>
      <c r="R37" s="315"/>
      <c r="S37" s="276"/>
      <c r="T37" s="748">
        <f t="shared" si="0"/>
        <v>85.683999999999997</v>
      </c>
      <c r="U37" s="543"/>
    </row>
    <row r="38" spans="1:21" s="171" customFormat="1">
      <c r="A38" s="274">
        <v>31</v>
      </c>
      <c r="B38" s="766" t="s">
        <v>177</v>
      </c>
      <c r="C38" s="767">
        <v>31547</v>
      </c>
      <c r="D38" s="751" t="s">
        <v>60</v>
      </c>
      <c r="E38" s="752">
        <v>2.67</v>
      </c>
      <c r="F38" s="758"/>
      <c r="G38" s="753"/>
      <c r="H38" s="750">
        <v>0.4</v>
      </c>
      <c r="I38" s="750">
        <v>0.4</v>
      </c>
      <c r="J38" s="275">
        <f>H38-I38</f>
        <v>0</v>
      </c>
      <c r="K38" s="754">
        <v>0</v>
      </c>
      <c r="L38" s="750">
        <v>0.2</v>
      </c>
      <c r="M38" s="275">
        <f>K38-L38</f>
        <v>-0.2</v>
      </c>
      <c r="N38" s="750">
        <v>40</v>
      </c>
      <c r="O38" s="750">
        <v>70</v>
      </c>
      <c r="P38" s="528">
        <f>N38-O38</f>
        <v>-30</v>
      </c>
      <c r="Q38" s="755">
        <f>(E38+J38)*P38%</f>
        <v>-0.80099999999999993</v>
      </c>
      <c r="R38" s="756"/>
      <c r="S38" s="755"/>
      <c r="T38" s="757">
        <f>SUM(E38:S38)</f>
        <v>82.668999999999997</v>
      </c>
      <c r="U38" s="760"/>
    </row>
    <row r="39" spans="1:21">
      <c r="A39" s="274">
        <v>32</v>
      </c>
      <c r="B39" s="763" t="s">
        <v>403</v>
      </c>
      <c r="C39" s="765">
        <v>33601</v>
      </c>
      <c r="D39" s="274" t="s">
        <v>60</v>
      </c>
      <c r="E39" s="264">
        <v>2.34</v>
      </c>
      <c r="F39" s="522"/>
      <c r="G39" s="277"/>
      <c r="H39" s="530">
        <v>0.4</v>
      </c>
      <c r="I39" s="275">
        <v>0.3</v>
      </c>
      <c r="J39" s="275">
        <f t="shared" si="3"/>
        <v>0.10000000000000003</v>
      </c>
      <c r="K39" s="528"/>
      <c r="L39" s="275">
        <v>0.2</v>
      </c>
      <c r="M39" s="275">
        <f t="shared" si="2"/>
        <v>-0.2</v>
      </c>
      <c r="N39" s="275">
        <v>70</v>
      </c>
      <c r="O39" s="275">
        <v>40</v>
      </c>
      <c r="P39" s="528">
        <f t="shared" si="1"/>
        <v>30</v>
      </c>
      <c r="Q39" s="276">
        <f t="shared" si="4"/>
        <v>0.73199999999999998</v>
      </c>
      <c r="R39" s="315"/>
      <c r="S39" s="315">
        <v>-0.4</v>
      </c>
      <c r="T39" s="748">
        <f t="shared" si="0"/>
        <v>143.47199999999998</v>
      </c>
      <c r="U39" s="543"/>
    </row>
    <row r="40" spans="1:21">
      <c r="A40" s="274">
        <v>33</v>
      </c>
      <c r="B40" s="763" t="s">
        <v>179</v>
      </c>
      <c r="C40" s="765">
        <v>31608</v>
      </c>
      <c r="D40" s="274" t="s">
        <v>38</v>
      </c>
      <c r="E40" s="264">
        <v>2.06</v>
      </c>
      <c r="F40" s="522"/>
      <c r="G40" s="277"/>
      <c r="H40" s="275"/>
      <c r="I40" s="275"/>
      <c r="J40" s="275"/>
      <c r="K40" s="528">
        <v>0.4</v>
      </c>
      <c r="L40" s="275">
        <v>0.2</v>
      </c>
      <c r="M40" s="275">
        <f t="shared" si="2"/>
        <v>0.2</v>
      </c>
      <c r="N40" s="275"/>
      <c r="O40" s="275"/>
      <c r="P40" s="528">
        <f t="shared" si="1"/>
        <v>0</v>
      </c>
      <c r="Q40" s="276"/>
      <c r="R40" s="315"/>
      <c r="S40" s="276"/>
      <c r="T40" s="748">
        <f t="shared" si="0"/>
        <v>2.8600000000000003</v>
      </c>
      <c r="U40" s="543" t="s">
        <v>404</v>
      </c>
    </row>
    <row r="41" spans="1:21">
      <c r="A41" s="274">
        <v>34</v>
      </c>
      <c r="B41" s="763" t="s">
        <v>405</v>
      </c>
      <c r="C41" s="765">
        <v>26039</v>
      </c>
      <c r="D41" s="274" t="s">
        <v>31</v>
      </c>
      <c r="E41" s="264">
        <v>4.6500000000000004</v>
      </c>
      <c r="F41" s="522"/>
      <c r="G41" s="277"/>
      <c r="H41" s="275">
        <v>0.4</v>
      </c>
      <c r="I41" s="275">
        <v>0.4</v>
      </c>
      <c r="J41" s="275">
        <f t="shared" si="3"/>
        <v>0</v>
      </c>
      <c r="K41" s="528">
        <v>0.4</v>
      </c>
      <c r="L41" s="275">
        <v>0</v>
      </c>
      <c r="M41" s="275">
        <f t="shared" si="2"/>
        <v>0.4</v>
      </c>
      <c r="N41" s="275">
        <v>70</v>
      </c>
      <c r="O41" s="275">
        <v>70</v>
      </c>
      <c r="P41" s="528">
        <f t="shared" si="1"/>
        <v>0</v>
      </c>
      <c r="Q41" s="276">
        <f t="shared" si="4"/>
        <v>0</v>
      </c>
      <c r="R41" s="315"/>
      <c r="S41" s="276"/>
      <c r="T41" s="748">
        <f t="shared" si="0"/>
        <v>146.25</v>
      </c>
      <c r="U41" s="543" t="s">
        <v>406</v>
      </c>
    </row>
    <row r="42" spans="1:21">
      <c r="A42" s="274">
        <v>35</v>
      </c>
      <c r="B42" s="763" t="s">
        <v>102</v>
      </c>
      <c r="C42" s="765">
        <v>32835</v>
      </c>
      <c r="D42" s="274" t="s">
        <v>38</v>
      </c>
      <c r="E42" s="264">
        <v>2.46</v>
      </c>
      <c r="F42" s="522"/>
      <c r="G42" s="277"/>
      <c r="H42" s="275"/>
      <c r="I42" s="275"/>
      <c r="J42" s="275"/>
      <c r="K42" s="528">
        <v>0.4</v>
      </c>
      <c r="L42" s="275">
        <v>0</v>
      </c>
      <c r="M42" s="275">
        <f t="shared" si="2"/>
        <v>0.4</v>
      </c>
      <c r="N42" s="275">
        <v>70</v>
      </c>
      <c r="O42" s="275">
        <v>40</v>
      </c>
      <c r="P42" s="528">
        <f t="shared" si="1"/>
        <v>30</v>
      </c>
      <c r="Q42" s="276">
        <f t="shared" si="4"/>
        <v>0.73799999999999999</v>
      </c>
      <c r="R42" s="315"/>
      <c r="S42" s="276"/>
      <c r="T42" s="748">
        <f t="shared" si="0"/>
        <v>143.99799999999999</v>
      </c>
      <c r="U42" s="543" t="s">
        <v>407</v>
      </c>
    </row>
    <row r="43" spans="1:21">
      <c r="A43" s="274">
        <v>36</v>
      </c>
      <c r="B43" s="763" t="s">
        <v>408</v>
      </c>
      <c r="C43" s="765">
        <v>25116</v>
      </c>
      <c r="D43" s="274" t="s">
        <v>29</v>
      </c>
      <c r="E43" s="264">
        <v>4.0599999999999996</v>
      </c>
      <c r="F43" s="522">
        <v>8</v>
      </c>
      <c r="G43" s="277">
        <f t="shared" si="7"/>
        <v>0.32479999999999998</v>
      </c>
      <c r="H43" s="275"/>
      <c r="I43" s="275"/>
      <c r="J43" s="275"/>
      <c r="K43" s="528"/>
      <c r="L43" s="275"/>
      <c r="M43" s="275"/>
      <c r="N43" s="275">
        <v>60</v>
      </c>
      <c r="O43" s="275">
        <v>40</v>
      </c>
      <c r="P43" s="528">
        <f t="shared" si="1"/>
        <v>20</v>
      </c>
      <c r="Q43" s="276">
        <f t="shared" si="4"/>
        <v>0.81199999999999994</v>
      </c>
      <c r="R43" s="315"/>
      <c r="S43" s="276"/>
      <c r="T43" s="748">
        <f t="shared" si="0"/>
        <v>133.1968</v>
      </c>
      <c r="U43" s="543" t="s">
        <v>409</v>
      </c>
    </row>
    <row r="44" spans="1:21">
      <c r="A44" s="274">
        <v>37</v>
      </c>
      <c r="B44" s="763" t="s">
        <v>410</v>
      </c>
      <c r="C44" s="765">
        <v>33963</v>
      </c>
      <c r="D44" s="274" t="s">
        <v>29</v>
      </c>
      <c r="E44" s="264">
        <v>2.06</v>
      </c>
      <c r="F44" s="522"/>
      <c r="G44" s="277"/>
      <c r="H44" s="275"/>
      <c r="I44" s="275"/>
      <c r="J44" s="275"/>
      <c r="K44" s="528"/>
      <c r="L44" s="275"/>
      <c r="M44" s="275"/>
      <c r="N44" s="275">
        <v>50</v>
      </c>
      <c r="O44" s="275">
        <v>40</v>
      </c>
      <c r="P44" s="528">
        <f t="shared" si="1"/>
        <v>10</v>
      </c>
      <c r="Q44" s="276">
        <f t="shared" si="4"/>
        <v>0.20600000000000002</v>
      </c>
      <c r="R44" s="315"/>
      <c r="S44" s="276"/>
      <c r="T44" s="748">
        <f t="shared" si="0"/>
        <v>102.26600000000001</v>
      </c>
      <c r="U44" s="543" t="s">
        <v>411</v>
      </c>
    </row>
    <row r="45" spans="1:21">
      <c r="A45" s="274">
        <v>38</v>
      </c>
      <c r="B45" s="763" t="s">
        <v>168</v>
      </c>
      <c r="C45" s="765" t="s">
        <v>412</v>
      </c>
      <c r="D45" s="274" t="s">
        <v>31</v>
      </c>
      <c r="E45" s="264">
        <v>4.32</v>
      </c>
      <c r="F45" s="522"/>
      <c r="G45" s="277"/>
      <c r="H45" s="275"/>
      <c r="I45" s="275"/>
      <c r="J45" s="275"/>
      <c r="K45" s="528"/>
      <c r="L45" s="275"/>
      <c r="M45" s="275"/>
      <c r="N45" s="275">
        <v>50</v>
      </c>
      <c r="O45" s="275">
        <v>40</v>
      </c>
      <c r="P45" s="528">
        <f t="shared" si="1"/>
        <v>10</v>
      </c>
      <c r="Q45" s="276">
        <f t="shared" si="4"/>
        <v>0.43200000000000005</v>
      </c>
      <c r="R45" s="315"/>
      <c r="S45" s="276"/>
      <c r="T45" s="748">
        <f t="shared" si="0"/>
        <v>104.752</v>
      </c>
      <c r="U45" s="543" t="s">
        <v>413</v>
      </c>
    </row>
    <row r="46" spans="1:21">
      <c r="A46" s="274">
        <v>39</v>
      </c>
      <c r="B46" s="763" t="s">
        <v>91</v>
      </c>
      <c r="C46" s="765">
        <v>24606</v>
      </c>
      <c r="D46" s="274" t="s">
        <v>29</v>
      </c>
      <c r="E46" s="264">
        <v>4.0599999999999996</v>
      </c>
      <c r="F46" s="522">
        <v>8</v>
      </c>
      <c r="G46" s="277">
        <f t="shared" si="7"/>
        <v>0.32479999999999998</v>
      </c>
      <c r="H46" s="275">
        <v>0.3</v>
      </c>
      <c r="I46" s="275">
        <v>0</v>
      </c>
      <c r="J46" s="275">
        <f t="shared" si="3"/>
        <v>0.3</v>
      </c>
      <c r="K46" s="528"/>
      <c r="L46" s="275"/>
      <c r="M46" s="275"/>
      <c r="N46" s="275">
        <v>50</v>
      </c>
      <c r="O46" s="275">
        <v>40</v>
      </c>
      <c r="P46" s="528">
        <f t="shared" si="1"/>
        <v>10</v>
      </c>
      <c r="Q46" s="276">
        <f t="shared" si="4"/>
        <v>0.43599999999999994</v>
      </c>
      <c r="R46" s="315"/>
      <c r="S46" s="276"/>
      <c r="T46" s="748">
        <f t="shared" si="0"/>
        <v>113.42080000000001</v>
      </c>
      <c r="U46" s="543" t="s">
        <v>394</v>
      </c>
    </row>
    <row r="47" spans="1:21">
      <c r="A47" s="1393">
        <v>40</v>
      </c>
      <c r="B47" s="1404" t="s">
        <v>414</v>
      </c>
      <c r="C47" s="1405">
        <v>30977</v>
      </c>
      <c r="D47" s="1406" t="s">
        <v>415</v>
      </c>
      <c r="E47" s="1407">
        <v>2.66</v>
      </c>
      <c r="F47" s="1408"/>
      <c r="G47" s="1409"/>
      <c r="H47" s="1410"/>
      <c r="I47" s="1410"/>
      <c r="J47" s="1410"/>
      <c r="K47" s="1411"/>
      <c r="L47" s="1410"/>
      <c r="M47" s="1410"/>
      <c r="N47" s="1410"/>
      <c r="O47" s="1410"/>
      <c r="P47" s="1411"/>
      <c r="Q47" s="1412">
        <f t="shared" si="4"/>
        <v>0</v>
      </c>
      <c r="R47" s="1413">
        <v>0.1</v>
      </c>
      <c r="S47" s="1412"/>
      <c r="T47" s="1414">
        <f t="shared" si="0"/>
        <v>2.7600000000000002</v>
      </c>
      <c r="U47" s="1415" t="s">
        <v>416</v>
      </c>
    </row>
    <row r="48" spans="1:21" s="141" customFormat="1">
      <c r="A48" s="1392" t="s">
        <v>39</v>
      </c>
      <c r="B48" s="1392"/>
      <c r="C48" s="1394"/>
      <c r="D48" s="1395"/>
      <c r="E48" s="1396">
        <f>SUM(E8:E47)</f>
        <v>125.24000000000001</v>
      </c>
      <c r="F48" s="1397"/>
      <c r="G48" s="1396">
        <f t="shared" ref="G48:M48" si="8">SUM(G8:G47)</f>
        <v>1.6645999999999999</v>
      </c>
      <c r="H48" s="1398">
        <f t="shared" si="8"/>
        <v>4.8</v>
      </c>
      <c r="I48" s="1398">
        <f t="shared" si="8"/>
        <v>3.8999999999999995</v>
      </c>
      <c r="J48" s="1399">
        <f t="shared" si="8"/>
        <v>0.4</v>
      </c>
      <c r="K48" s="1398">
        <f t="shared" si="8"/>
        <v>7.2000000000000037</v>
      </c>
      <c r="L48" s="1399">
        <f t="shared" si="8"/>
        <v>1</v>
      </c>
      <c r="M48" s="1399">
        <f t="shared" si="8"/>
        <v>6.2000000000000028</v>
      </c>
      <c r="N48" s="1399"/>
      <c r="O48" s="1399"/>
      <c r="P48" s="1400">
        <f>SUM(P8:P47)</f>
        <v>820</v>
      </c>
      <c r="Q48" s="1401">
        <f>SUM(Q8:Q47)</f>
        <v>22.436</v>
      </c>
      <c r="R48" s="1401">
        <f>SUM(R8:R47)</f>
        <v>3.899999999999999</v>
      </c>
      <c r="S48" s="1401">
        <f>SUM(S8:S47)</f>
        <v>0</v>
      </c>
      <c r="T48" s="1402">
        <f t="shared" si="0"/>
        <v>996.74060000000009</v>
      </c>
      <c r="U48" s="1403"/>
    </row>
    <row r="49" spans="1:21">
      <c r="A49" s="531"/>
      <c r="B49" s="531"/>
      <c r="C49" s="531"/>
      <c r="D49" s="531"/>
      <c r="E49" s="531"/>
      <c r="F49" s="772"/>
      <c r="G49" s="531"/>
      <c r="H49" s="270"/>
      <c r="I49" s="270"/>
      <c r="J49" s="532"/>
      <c r="K49" s="270"/>
      <c r="L49" s="532"/>
      <c r="M49" s="532"/>
      <c r="N49" s="532"/>
      <c r="O49" s="532"/>
      <c r="P49" s="270"/>
      <c r="Q49" s="532"/>
      <c r="R49" s="532"/>
      <c r="S49" s="532"/>
      <c r="T49" s="531"/>
      <c r="U49" s="533"/>
    </row>
    <row r="50" spans="1:21" ht="18.75">
      <c r="A50" s="1333" t="s">
        <v>354</v>
      </c>
      <c r="B50" s="1333"/>
      <c r="C50" s="1333"/>
      <c r="D50" s="1333"/>
      <c r="E50" s="1333"/>
      <c r="F50" s="1333"/>
      <c r="G50" s="1333"/>
      <c r="H50" s="1333"/>
      <c r="I50" s="1333"/>
      <c r="J50" s="1333"/>
      <c r="K50" s="1333"/>
      <c r="L50" s="1333"/>
      <c r="M50" s="268"/>
      <c r="N50" s="268"/>
      <c r="O50" s="1334" t="s">
        <v>474</v>
      </c>
      <c r="P50" s="1334"/>
      <c r="Q50" s="1334"/>
      <c r="R50" s="1334"/>
      <c r="S50" s="1334"/>
      <c r="T50" s="1334"/>
      <c r="U50" s="1334"/>
    </row>
    <row r="51" spans="1:21" s="142" customFormat="1" ht="18.75">
      <c r="A51" s="1337" t="s">
        <v>217</v>
      </c>
      <c r="B51" s="1337"/>
      <c r="C51" s="1337"/>
      <c r="D51" s="1337"/>
      <c r="E51" s="1337"/>
      <c r="F51" s="1337"/>
      <c r="G51" s="1337"/>
      <c r="H51" s="1337"/>
      <c r="I51" s="1337"/>
      <c r="J51" s="778"/>
      <c r="K51" s="778"/>
      <c r="L51" s="778"/>
      <c r="M51" s="268"/>
      <c r="N51" s="268"/>
      <c r="O51" s="1335" t="s">
        <v>42</v>
      </c>
      <c r="P51" s="1335"/>
      <c r="Q51" s="1335"/>
      <c r="R51" s="1335"/>
      <c r="S51" s="1335"/>
      <c r="T51" s="1335"/>
      <c r="U51" s="1335"/>
    </row>
    <row r="52" spans="1:21" s="105" customFormat="1" ht="15.75">
      <c r="A52" s="1336" t="s">
        <v>43</v>
      </c>
      <c r="B52" s="1336"/>
      <c r="C52" s="1336"/>
      <c r="D52" s="776"/>
      <c r="E52" s="1336" t="s">
        <v>44</v>
      </c>
      <c r="F52" s="1336"/>
      <c r="G52" s="1336"/>
      <c r="H52" s="1336"/>
      <c r="I52" s="1336"/>
      <c r="J52" s="1336"/>
      <c r="K52" s="776"/>
      <c r="L52" s="776"/>
      <c r="M52" s="777"/>
      <c r="N52" s="776" t="s">
        <v>45</v>
      </c>
      <c r="O52" s="776"/>
      <c r="P52" s="776"/>
      <c r="Q52" s="776"/>
      <c r="R52" s="776"/>
      <c r="S52" s="776"/>
      <c r="T52" s="1336" t="s">
        <v>43</v>
      </c>
      <c r="U52" s="1336"/>
    </row>
    <row r="53" spans="1:21" ht="18.75">
      <c r="A53" s="741"/>
      <c r="B53" s="741"/>
      <c r="C53" s="741"/>
      <c r="D53" s="534"/>
      <c r="E53" s="741"/>
      <c r="F53" s="769"/>
      <c r="G53" s="741"/>
      <c r="H53" s="741"/>
      <c r="I53" s="741"/>
      <c r="J53" s="741"/>
      <c r="K53" s="741"/>
      <c r="L53" s="741"/>
      <c r="M53" s="269"/>
      <c r="N53" s="269"/>
      <c r="O53" s="741"/>
      <c r="P53" s="741"/>
      <c r="Q53" s="741"/>
      <c r="R53" s="741"/>
      <c r="S53" s="741"/>
      <c r="T53" s="741"/>
      <c r="U53" s="741"/>
    </row>
    <row r="54" spans="1:21" ht="18.75">
      <c r="A54" s="741"/>
      <c r="B54" s="741"/>
      <c r="C54" s="741"/>
      <c r="D54" s="534"/>
      <c r="E54" s="741"/>
      <c r="F54" s="769"/>
      <c r="G54" s="741"/>
      <c r="H54" s="741"/>
      <c r="I54" s="741"/>
      <c r="J54" s="741"/>
      <c r="K54" s="741"/>
      <c r="L54" s="741"/>
      <c r="M54" s="269"/>
      <c r="N54" s="269"/>
      <c r="O54" s="741"/>
      <c r="P54" s="741"/>
      <c r="Q54" s="741"/>
      <c r="R54" s="741"/>
      <c r="S54" s="741"/>
      <c r="T54" s="741"/>
      <c r="U54" s="741" t="s">
        <v>69</v>
      </c>
    </row>
    <row r="55" spans="1:21" ht="18.75">
      <c r="A55" s="535"/>
      <c r="B55" s="535"/>
      <c r="C55" s="535"/>
      <c r="D55" s="535"/>
      <c r="E55" s="535"/>
      <c r="F55" s="773"/>
      <c r="G55" s="535"/>
      <c r="H55" s="271"/>
      <c r="I55" s="271"/>
      <c r="J55" s="269"/>
      <c r="K55" s="271"/>
      <c r="L55" s="269"/>
      <c r="M55" s="269"/>
      <c r="N55" s="269"/>
      <c r="O55" s="269"/>
      <c r="P55" s="271"/>
      <c r="Q55" s="269"/>
      <c r="R55" s="269"/>
      <c r="S55" s="269"/>
      <c r="T55" s="535"/>
      <c r="U55" s="536"/>
    </row>
    <row r="56" spans="1:21" ht="38.25" customHeight="1">
      <c r="A56" s="1315" t="s">
        <v>46</v>
      </c>
      <c r="B56" s="1315"/>
      <c r="C56" s="1315"/>
      <c r="D56" s="535"/>
      <c r="E56" s="1315" t="s">
        <v>356</v>
      </c>
      <c r="F56" s="1315"/>
      <c r="G56" s="1315"/>
      <c r="H56" s="1315"/>
      <c r="I56" s="1315"/>
      <c r="J56" s="1315"/>
      <c r="K56" s="534"/>
      <c r="L56" s="534"/>
      <c r="M56" s="269"/>
      <c r="N56" s="534" t="s">
        <v>222</v>
      </c>
      <c r="O56" s="534"/>
      <c r="P56" s="534"/>
      <c r="Q56" s="534"/>
      <c r="R56" s="534"/>
      <c r="S56" s="534"/>
      <c r="T56" s="1315" t="s">
        <v>49</v>
      </c>
      <c r="U56" s="1315"/>
    </row>
    <row r="57" spans="1:21">
      <c r="A57" s="537"/>
      <c r="B57" s="537"/>
      <c r="C57" s="537"/>
      <c r="D57" s="537"/>
      <c r="E57" s="537"/>
      <c r="F57" s="774"/>
      <c r="G57" s="537"/>
      <c r="H57" s="526"/>
      <c r="I57" s="526"/>
      <c r="J57" s="538"/>
      <c r="K57" s="526"/>
      <c r="L57" s="538"/>
      <c r="M57" s="538"/>
      <c r="N57" s="538"/>
      <c r="O57" s="538"/>
      <c r="P57" s="526"/>
      <c r="Q57" s="538"/>
      <c r="R57" s="538"/>
      <c r="S57" s="538"/>
      <c r="T57" s="537"/>
      <c r="U57" s="539"/>
    </row>
  </sheetData>
  <mergeCells count="38">
    <mergeCell ref="T52:U52"/>
    <mergeCell ref="T56:U56"/>
    <mergeCell ref="A51:I51"/>
    <mergeCell ref="A52:C52"/>
    <mergeCell ref="A56:C56"/>
    <mergeCell ref="E52:J52"/>
    <mergeCell ref="E56:J56"/>
    <mergeCell ref="A7:B7"/>
    <mergeCell ref="A48:B48"/>
    <mergeCell ref="A50:L50"/>
    <mergeCell ref="O50:U50"/>
    <mergeCell ref="O51:U51"/>
    <mergeCell ref="P5:Q5"/>
    <mergeCell ref="K4:M4"/>
    <mergeCell ref="N4:Q4"/>
    <mergeCell ref="R4:R6"/>
    <mergeCell ref="S4:S6"/>
    <mergeCell ref="K5:K6"/>
    <mergeCell ref="L5:L6"/>
    <mergeCell ref="M5:M6"/>
    <mergeCell ref="N5:N6"/>
    <mergeCell ref="O5:O6"/>
    <mergeCell ref="A1:U1"/>
    <mergeCell ref="A3:A6"/>
    <mergeCell ref="B3:B6"/>
    <mergeCell ref="C3:C6"/>
    <mergeCell ref="D3:D6"/>
    <mergeCell ref="E3:E6"/>
    <mergeCell ref="F3:G4"/>
    <mergeCell ref="H3:T3"/>
    <mergeCell ref="U3:U6"/>
    <mergeCell ref="H4:J4"/>
    <mergeCell ref="T4:T6"/>
    <mergeCell ref="F5:F6"/>
    <mergeCell ref="G5:G6"/>
    <mergeCell ref="H5:H6"/>
    <mergeCell ref="I5:I6"/>
    <mergeCell ref="J5:J6"/>
  </mergeCells>
  <pageMargins left="0.24" right="0.16" top="0.23" bottom="0.26" header="0.21" footer="0.2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C227"/>
  <sheetViews>
    <sheetView topLeftCell="A133" workbookViewId="0">
      <selection activeCell="S137" sqref="S137"/>
    </sheetView>
  </sheetViews>
  <sheetFormatPr defaultRowHeight="15"/>
  <cols>
    <col min="1" max="2" width="4" customWidth="1"/>
    <col min="3" max="3" width="16.42578125" customWidth="1"/>
    <col min="4" max="4" width="10.28515625" customWidth="1"/>
    <col min="5" max="5" width="7.5703125" customWidth="1"/>
    <col min="6" max="6" width="6.42578125" customWidth="1"/>
    <col min="7" max="7" width="3.5703125" style="1039" customWidth="1"/>
    <col min="8" max="8" width="3.42578125" style="1039" customWidth="1"/>
    <col min="9" max="9" width="4.42578125" style="1039" customWidth="1"/>
    <col min="10" max="10" width="3.85546875" customWidth="1"/>
    <col min="11" max="11" width="4.85546875" customWidth="1"/>
    <col min="12" max="12" width="4.42578125" customWidth="1"/>
    <col min="13" max="13" width="4.5703125" customWidth="1"/>
    <col min="14" max="15" width="3.85546875" customWidth="1"/>
    <col min="16" max="16" width="4.140625" customWidth="1"/>
    <col min="17" max="17" width="3.85546875" customWidth="1"/>
    <col min="18" max="18" width="6" customWidth="1"/>
    <col min="19" max="19" width="3.85546875" customWidth="1"/>
    <col min="20" max="20" width="4.42578125" customWidth="1"/>
    <col min="21" max="22" width="5.7109375" customWidth="1"/>
    <col min="23" max="23" width="6.140625" customWidth="1"/>
    <col min="24" max="24" width="10.28515625" customWidth="1"/>
    <col min="25" max="25" width="15.85546875" customWidth="1"/>
    <col min="26" max="26" width="4.42578125" customWidth="1"/>
    <col min="27" max="28" width="3.28515625" customWidth="1"/>
    <col min="29" max="29" width="4.7109375" customWidth="1"/>
  </cols>
  <sheetData>
    <row r="1" spans="1:29" ht="16.5">
      <c r="A1" s="1344" t="s">
        <v>0</v>
      </c>
      <c r="B1" s="1344"/>
      <c r="C1" s="1344"/>
      <c r="D1" s="1344"/>
      <c r="E1" s="865"/>
      <c r="F1" s="865"/>
      <c r="G1" s="1021"/>
      <c r="H1" s="1021"/>
      <c r="I1" s="1021"/>
      <c r="J1" s="865"/>
      <c r="K1" s="860"/>
      <c r="L1" s="861"/>
      <c r="M1" s="862"/>
      <c r="N1" s="860"/>
      <c r="O1" s="860"/>
      <c r="P1" s="862"/>
      <c r="Q1" s="1343" t="s">
        <v>1</v>
      </c>
      <c r="R1" s="1343"/>
      <c r="S1" s="1343"/>
      <c r="T1" s="1343"/>
      <c r="U1" s="1343"/>
      <c r="V1" s="1343"/>
      <c r="W1" s="1343"/>
      <c r="X1" s="1343"/>
    </row>
    <row r="2" spans="1:29" ht="18.75">
      <c r="A2" s="899" t="s">
        <v>42</v>
      </c>
      <c r="B2" s="899"/>
      <c r="C2" s="899"/>
      <c r="D2" s="899"/>
      <c r="E2" s="899"/>
      <c r="F2" s="899"/>
      <c r="G2" s="1022"/>
      <c r="H2" s="1022"/>
      <c r="I2" s="1022"/>
      <c r="J2" s="899"/>
      <c r="K2" s="861"/>
      <c r="L2" s="861"/>
      <c r="M2" s="863"/>
      <c r="N2" s="861"/>
      <c r="O2" s="861"/>
      <c r="P2" s="863"/>
      <c r="Q2" s="1121" t="s">
        <v>3</v>
      </c>
      <c r="R2" s="1121"/>
      <c r="S2" s="1121"/>
      <c r="T2" s="1121"/>
      <c r="U2" s="1121"/>
      <c r="V2" s="1121"/>
      <c r="W2" s="1121"/>
      <c r="X2" s="1121"/>
    </row>
    <row r="3" spans="1:29" ht="16.5">
      <c r="A3" s="862"/>
      <c r="B3" s="862"/>
      <c r="C3" s="862"/>
      <c r="D3" s="862"/>
      <c r="E3" s="862"/>
      <c r="F3" s="864"/>
      <c r="G3" s="1023"/>
      <c r="H3" s="1023"/>
      <c r="I3" s="1023"/>
      <c r="J3" s="860"/>
      <c r="K3" s="860"/>
      <c r="L3" s="861"/>
      <c r="M3" s="862"/>
      <c r="N3" s="860"/>
      <c r="O3" s="860"/>
      <c r="P3" s="862"/>
      <c r="Q3" s="860"/>
      <c r="R3" s="865"/>
      <c r="S3" s="865"/>
      <c r="T3" s="865"/>
      <c r="U3" s="865"/>
      <c r="V3" s="865"/>
      <c r="W3" s="865"/>
      <c r="X3" s="865"/>
    </row>
    <row r="4" spans="1:29" ht="18.75">
      <c r="A4" s="1121" t="s">
        <v>480</v>
      </c>
      <c r="B4" s="1121"/>
      <c r="C4" s="1121"/>
      <c r="D4" s="1121"/>
      <c r="E4" s="1121"/>
      <c r="F4" s="1121"/>
      <c r="G4" s="1121"/>
      <c r="H4" s="1121"/>
      <c r="I4" s="1121"/>
      <c r="J4" s="1121"/>
      <c r="K4" s="1121"/>
      <c r="L4" s="1121"/>
      <c r="M4" s="1121"/>
      <c r="N4" s="1121"/>
      <c r="O4" s="1121"/>
      <c r="P4" s="1121"/>
      <c r="Q4" s="1121"/>
      <c r="R4" s="1121"/>
      <c r="S4" s="1121"/>
      <c r="T4" s="1121"/>
      <c r="U4" s="1121"/>
      <c r="V4" s="1121"/>
      <c r="W4" s="1121"/>
      <c r="X4" s="1121"/>
    </row>
    <row r="5" spans="1:29" ht="19.5">
      <c r="A5" s="1345" t="s">
        <v>678</v>
      </c>
      <c r="B5" s="1345"/>
      <c r="C5" s="1345"/>
      <c r="D5" s="1345"/>
      <c r="E5" s="1345"/>
      <c r="F5" s="1345"/>
      <c r="G5" s="1345"/>
      <c r="H5" s="1345"/>
      <c r="I5" s="1345"/>
      <c r="J5" s="1345"/>
      <c r="K5" s="1345"/>
      <c r="L5" s="1345"/>
      <c r="M5" s="1345"/>
      <c r="N5" s="1345"/>
      <c r="O5" s="1345"/>
      <c r="P5" s="1345"/>
      <c r="Q5" s="1345"/>
      <c r="R5" s="1345"/>
      <c r="S5" s="1345"/>
      <c r="T5" s="1345"/>
      <c r="U5" s="1345"/>
      <c r="V5" s="1345"/>
      <c r="W5" s="1345"/>
      <c r="X5" s="1345"/>
      <c r="Y5" s="1345"/>
      <c r="Z5" s="13"/>
      <c r="AA5" s="13"/>
    </row>
    <row r="6" spans="1:29" s="908" customFormat="1" ht="24.75" customHeight="1">
      <c r="A6" s="1340" t="s">
        <v>51</v>
      </c>
      <c r="B6" s="1340" t="s">
        <v>51</v>
      </c>
      <c r="C6" s="1340" t="s">
        <v>149</v>
      </c>
      <c r="D6" s="1347" t="s">
        <v>481</v>
      </c>
      <c r="E6" s="1347" t="s">
        <v>52</v>
      </c>
      <c r="F6" s="1350" t="s">
        <v>185</v>
      </c>
      <c r="G6" s="1359" t="s">
        <v>57</v>
      </c>
      <c r="H6" s="1359"/>
      <c r="I6" s="1359"/>
      <c r="J6" s="1357" t="s">
        <v>482</v>
      </c>
      <c r="K6" s="1357"/>
      <c r="L6" s="1357"/>
      <c r="M6" s="1357"/>
      <c r="N6" s="1357"/>
      <c r="O6" s="1357"/>
      <c r="P6" s="1357"/>
      <c r="Q6" s="1357"/>
      <c r="R6" s="1357"/>
      <c r="S6" s="1357"/>
      <c r="T6" s="1357"/>
      <c r="U6" s="1357"/>
      <c r="V6" s="1347" t="s">
        <v>483</v>
      </c>
      <c r="W6" s="1347" t="s">
        <v>484</v>
      </c>
      <c r="X6" s="1354" t="s">
        <v>630</v>
      </c>
    </row>
    <row r="7" spans="1:29" s="908" customFormat="1" ht="12">
      <c r="A7" s="1341"/>
      <c r="B7" s="1341"/>
      <c r="C7" s="1341"/>
      <c r="D7" s="1348"/>
      <c r="E7" s="1348"/>
      <c r="F7" s="1351"/>
      <c r="G7" s="1360"/>
      <c r="H7" s="1360"/>
      <c r="I7" s="1360"/>
      <c r="J7" s="1357" t="s">
        <v>485</v>
      </c>
      <c r="K7" s="1357"/>
      <c r="L7" s="1358" t="s">
        <v>486</v>
      </c>
      <c r="M7" s="1358" t="s">
        <v>487</v>
      </c>
      <c r="N7" s="1358" t="s">
        <v>488</v>
      </c>
      <c r="O7" s="1358" t="s">
        <v>17</v>
      </c>
      <c r="P7" s="1358" t="s">
        <v>212</v>
      </c>
      <c r="Q7" s="1357" t="s">
        <v>16</v>
      </c>
      <c r="R7" s="1357"/>
      <c r="S7" s="1358" t="s">
        <v>489</v>
      </c>
      <c r="T7" s="1358" t="s">
        <v>239</v>
      </c>
      <c r="U7" s="1358" t="s">
        <v>490</v>
      </c>
      <c r="V7" s="1348"/>
      <c r="W7" s="1348"/>
      <c r="X7" s="1355"/>
    </row>
    <row r="8" spans="1:29" s="908" customFormat="1" ht="32.25" customHeight="1">
      <c r="A8" s="1341"/>
      <c r="B8" s="1341"/>
      <c r="C8" s="1346"/>
      <c r="D8" s="1349"/>
      <c r="E8" s="1349"/>
      <c r="F8" s="1352"/>
      <c r="G8" s="1045" t="s">
        <v>629</v>
      </c>
      <c r="H8" s="1045" t="s">
        <v>628</v>
      </c>
      <c r="I8" s="1046" t="s">
        <v>54</v>
      </c>
      <c r="J8" s="909" t="s">
        <v>24</v>
      </c>
      <c r="K8" s="909" t="s">
        <v>25</v>
      </c>
      <c r="L8" s="1349"/>
      <c r="M8" s="1349"/>
      <c r="N8" s="1349"/>
      <c r="O8" s="1349"/>
      <c r="P8" s="1349"/>
      <c r="Q8" s="909" t="s">
        <v>24</v>
      </c>
      <c r="R8" s="909" t="s">
        <v>25</v>
      </c>
      <c r="S8" s="1349"/>
      <c r="T8" s="1349"/>
      <c r="U8" s="1349"/>
      <c r="V8" s="1349"/>
      <c r="W8" s="1349"/>
      <c r="X8" s="1356"/>
    </row>
    <row r="9" spans="1:29">
      <c r="A9" s="1007" t="s">
        <v>491</v>
      </c>
      <c r="B9" s="1007"/>
      <c r="C9" s="1361" t="s">
        <v>492</v>
      </c>
      <c r="D9" s="1361"/>
      <c r="E9" s="1040"/>
      <c r="F9" s="1041"/>
      <c r="G9" s="1042"/>
      <c r="H9" s="1042"/>
      <c r="I9" s="1042"/>
      <c r="J9" s="1043"/>
      <c r="K9" s="1043"/>
      <c r="L9" s="1040"/>
      <c r="M9" s="1040"/>
      <c r="N9" s="1040"/>
      <c r="O9" s="1040"/>
      <c r="P9" s="1040"/>
      <c r="Q9" s="1043"/>
      <c r="R9" s="1043"/>
      <c r="S9" s="1040"/>
      <c r="T9" s="1040"/>
      <c r="U9" s="1040"/>
      <c r="V9" s="1040"/>
      <c r="W9" s="1040"/>
      <c r="X9" s="1044"/>
      <c r="Y9" s="1011"/>
    </row>
    <row r="10" spans="1:29">
      <c r="A10" s="1008"/>
      <c r="B10" s="1008"/>
      <c r="C10" s="1362" t="s">
        <v>493</v>
      </c>
      <c r="D10" s="1362"/>
      <c r="E10" s="866"/>
      <c r="F10" s="752"/>
      <c r="G10" s="1024"/>
      <c r="H10" s="1024"/>
      <c r="I10" s="1024"/>
      <c r="J10" s="866"/>
      <c r="K10" s="867"/>
      <c r="L10" s="866"/>
      <c r="M10" s="866"/>
      <c r="N10" s="866"/>
      <c r="O10" s="866"/>
      <c r="P10" s="866"/>
      <c r="Q10" s="866"/>
      <c r="R10" s="868"/>
      <c r="S10" s="866"/>
      <c r="T10" s="866"/>
      <c r="U10" s="868"/>
      <c r="V10" s="868"/>
      <c r="W10" s="868"/>
      <c r="X10" s="1013"/>
      <c r="Y10" s="1011"/>
    </row>
    <row r="11" spans="1:29" ht="17.25" customHeight="1">
      <c r="A11" s="871">
        <v>1</v>
      </c>
      <c r="B11" s="871">
        <v>1</v>
      </c>
      <c r="C11" s="869" t="s">
        <v>49</v>
      </c>
      <c r="D11" s="870">
        <v>25029</v>
      </c>
      <c r="E11" s="871" t="s">
        <v>164</v>
      </c>
      <c r="F11" s="872">
        <v>5.76</v>
      </c>
      <c r="G11" s="1025" t="s">
        <v>631</v>
      </c>
      <c r="H11" s="1025" t="s">
        <v>632</v>
      </c>
      <c r="I11" s="1026">
        <v>2019</v>
      </c>
      <c r="J11" s="871"/>
      <c r="K11" s="871"/>
      <c r="L11" s="871">
        <v>0.7</v>
      </c>
      <c r="M11" s="871">
        <v>0.3</v>
      </c>
      <c r="N11" s="871">
        <v>0.3</v>
      </c>
      <c r="O11" s="871"/>
      <c r="P11" s="871"/>
      <c r="Q11" s="871">
        <v>60</v>
      </c>
      <c r="R11" s="873">
        <f>SUM(F11+K11+L11)*Q11%</f>
        <v>3.8759999999999999</v>
      </c>
      <c r="S11" s="871"/>
      <c r="T11" s="871"/>
      <c r="U11" s="873">
        <f>SUM(K11+L11+M11+N11+O11+P11+R11+S11+T11)</f>
        <v>5.1760000000000002</v>
      </c>
      <c r="V11" s="873">
        <f>SUM(F11+K11+L11+S11)*22.5/100</f>
        <v>1.4535</v>
      </c>
      <c r="W11" s="873">
        <f>SUM(F11+U11+V11)</f>
        <v>12.3895</v>
      </c>
      <c r="X11" s="1014">
        <f>SUM(W11)*1390</f>
        <v>17221.404999999999</v>
      </c>
      <c r="Y11" s="1011"/>
      <c r="Z11" s="912"/>
      <c r="AA11" s="911"/>
      <c r="AB11" s="911"/>
      <c r="AC11" s="911"/>
    </row>
    <row r="12" spans="1:29" ht="17.25" customHeight="1">
      <c r="A12" s="871">
        <v>2</v>
      </c>
      <c r="B12" s="871">
        <v>2</v>
      </c>
      <c r="C12" s="869" t="s">
        <v>265</v>
      </c>
      <c r="D12" s="871" t="s">
        <v>266</v>
      </c>
      <c r="E12" s="871" t="s">
        <v>31</v>
      </c>
      <c r="F12" s="874">
        <v>4.4000000000000004</v>
      </c>
      <c r="G12" s="1027">
        <v>1</v>
      </c>
      <c r="H12" s="1027">
        <v>1</v>
      </c>
      <c r="I12" s="1027">
        <v>2018</v>
      </c>
      <c r="J12" s="871"/>
      <c r="K12" s="871"/>
      <c r="L12" s="871">
        <v>0.5</v>
      </c>
      <c r="M12" s="871">
        <v>0.3</v>
      </c>
      <c r="N12" s="871"/>
      <c r="O12" s="871"/>
      <c r="P12" s="871"/>
      <c r="Q12" s="871">
        <v>40</v>
      </c>
      <c r="R12" s="873">
        <f>SUM(F12+K12+L12)*Q12%</f>
        <v>1.9600000000000002</v>
      </c>
      <c r="S12" s="871"/>
      <c r="T12" s="871"/>
      <c r="U12" s="873">
        <f>SUM(K12+L12+M12+N12+O12+P12+R12+S12+T12)</f>
        <v>2.7600000000000002</v>
      </c>
      <c r="V12" s="873">
        <f t="shared" ref="V12:V21" si="0">SUM(F12+K12+L12+S12)*24/100</f>
        <v>1.1760000000000002</v>
      </c>
      <c r="W12" s="873">
        <f>SUM(F12+U12+V12)</f>
        <v>8.3360000000000003</v>
      </c>
      <c r="X12" s="1015">
        <f t="shared" ref="X12:X77" si="1">SUM(W12)*1390</f>
        <v>11587.04</v>
      </c>
      <c r="Y12" s="1012"/>
      <c r="Z12" s="914"/>
      <c r="AA12" s="913"/>
      <c r="AB12" s="913"/>
      <c r="AC12" s="913"/>
    </row>
    <row r="13" spans="1:29" ht="17.25" customHeight="1">
      <c r="A13" s="871">
        <v>3</v>
      </c>
      <c r="B13" s="871">
        <v>3</v>
      </c>
      <c r="C13" s="869" t="s">
        <v>494</v>
      </c>
      <c r="D13" s="870">
        <v>24233</v>
      </c>
      <c r="E13" s="871" t="s">
        <v>495</v>
      </c>
      <c r="F13" s="874">
        <v>5.76</v>
      </c>
      <c r="G13" s="1027">
        <v>1</v>
      </c>
      <c r="H13" s="1027">
        <v>7</v>
      </c>
      <c r="I13" s="1027">
        <v>2017</v>
      </c>
      <c r="J13" s="871"/>
      <c r="K13" s="871"/>
      <c r="L13" s="871">
        <v>0.5</v>
      </c>
      <c r="M13" s="871">
        <v>0.3</v>
      </c>
      <c r="N13" s="871"/>
      <c r="O13" s="871"/>
      <c r="P13" s="871"/>
      <c r="Q13" s="871">
        <v>40</v>
      </c>
      <c r="R13" s="873">
        <f>SUM(F13+K13+L13)*Q13%</f>
        <v>2.504</v>
      </c>
      <c r="S13" s="871"/>
      <c r="T13" s="871"/>
      <c r="U13" s="873">
        <f>SUM(K13+L13+M13+N13+O13+P13+R13+S13+T13)</f>
        <v>3.3040000000000003</v>
      </c>
      <c r="V13" s="873">
        <f t="shared" si="0"/>
        <v>1.5024000000000002</v>
      </c>
      <c r="W13" s="873">
        <f>SUM(F13+U13+V13)</f>
        <v>10.5664</v>
      </c>
      <c r="X13" s="1015">
        <f t="shared" si="1"/>
        <v>14687.296</v>
      </c>
      <c r="Y13" s="1011"/>
    </row>
    <row r="14" spans="1:29" ht="17.25" customHeight="1">
      <c r="A14" s="871"/>
      <c r="B14" s="871"/>
      <c r="C14" s="1353" t="s">
        <v>496</v>
      </c>
      <c r="D14" s="1353"/>
      <c r="E14" s="871"/>
      <c r="F14" s="874"/>
      <c r="G14" s="1025"/>
      <c r="H14" s="1025"/>
      <c r="I14" s="1026"/>
      <c r="J14" s="871"/>
      <c r="K14" s="871"/>
      <c r="L14" s="871"/>
      <c r="M14" s="871"/>
      <c r="N14" s="871"/>
      <c r="O14" s="871"/>
      <c r="P14" s="871"/>
      <c r="Q14" s="871"/>
      <c r="R14" s="873"/>
      <c r="S14" s="871"/>
      <c r="T14" s="871"/>
      <c r="U14" s="873"/>
      <c r="V14" s="873"/>
      <c r="W14" s="873"/>
      <c r="X14" s="1015"/>
      <c r="Y14" s="1012"/>
      <c r="Z14" s="914"/>
      <c r="AA14" s="913"/>
      <c r="AB14" s="913"/>
      <c r="AC14" s="913"/>
    </row>
    <row r="15" spans="1:29" ht="17.25" customHeight="1">
      <c r="A15" s="871">
        <v>4</v>
      </c>
      <c r="B15" s="871">
        <v>1</v>
      </c>
      <c r="C15" s="869" t="s">
        <v>497</v>
      </c>
      <c r="D15" s="870">
        <v>28045</v>
      </c>
      <c r="E15" s="871">
        <v>6031</v>
      </c>
      <c r="F15" s="874">
        <v>3.99</v>
      </c>
      <c r="G15" s="1027">
        <v>15</v>
      </c>
      <c r="H15" s="1027">
        <v>7</v>
      </c>
      <c r="I15" s="1027">
        <v>2017</v>
      </c>
      <c r="J15" s="871"/>
      <c r="K15" s="871"/>
      <c r="L15" s="871">
        <v>0.4</v>
      </c>
      <c r="M15" s="871">
        <v>0.3</v>
      </c>
      <c r="N15" s="871">
        <v>0.2</v>
      </c>
      <c r="O15" s="871"/>
      <c r="P15" s="871"/>
      <c r="Q15" s="871"/>
      <c r="R15" s="873"/>
      <c r="S15" s="871"/>
      <c r="T15" s="871"/>
      <c r="U15" s="873">
        <f>SUM(K15+L15+M15+N15+O15+P15+R15+S15+T15)</f>
        <v>0.89999999999999991</v>
      </c>
      <c r="V15" s="873">
        <f t="shared" si="0"/>
        <v>1.0536000000000001</v>
      </c>
      <c r="W15" s="873">
        <f t="shared" ref="W15:W21" si="2">SUM(F15+U15+V15)</f>
        <v>5.9436000000000009</v>
      </c>
      <c r="X15" s="1015">
        <f t="shared" si="1"/>
        <v>8261.6040000000012</v>
      </c>
      <c r="Y15" s="1011"/>
      <c r="Z15" s="912"/>
    </row>
    <row r="16" spans="1:29" ht="17.25" customHeight="1">
      <c r="A16" s="871">
        <v>5</v>
      </c>
      <c r="B16" s="871">
        <v>2</v>
      </c>
      <c r="C16" s="869" t="s">
        <v>498</v>
      </c>
      <c r="D16" s="871" t="s">
        <v>499</v>
      </c>
      <c r="E16" s="871" t="s">
        <v>500</v>
      </c>
      <c r="F16" s="872">
        <v>3.03</v>
      </c>
      <c r="G16" s="1028">
        <v>1</v>
      </c>
      <c r="H16" s="1028">
        <v>10</v>
      </c>
      <c r="I16" s="1028">
        <v>2013</v>
      </c>
      <c r="J16" s="871"/>
      <c r="K16" s="871"/>
      <c r="L16" s="871">
        <v>0.3</v>
      </c>
      <c r="M16" s="871">
        <v>0.3</v>
      </c>
      <c r="N16" s="871"/>
      <c r="O16" s="871"/>
      <c r="P16" s="871"/>
      <c r="Q16" s="871"/>
      <c r="R16" s="873"/>
      <c r="S16" s="871"/>
      <c r="T16" s="871"/>
      <c r="U16" s="873">
        <f>SUM(K16+L16+M16+N16+O16+P16+R16+S16+T16)</f>
        <v>0.6</v>
      </c>
      <c r="V16" s="873">
        <f t="shared" si="0"/>
        <v>0.79919999999999991</v>
      </c>
      <c r="W16" s="873">
        <f t="shared" si="2"/>
        <v>4.4291999999999998</v>
      </c>
      <c r="X16" s="1015">
        <f t="shared" si="1"/>
        <v>6156.5879999999997</v>
      </c>
      <c r="Y16" s="1011"/>
      <c r="Z16" s="912"/>
    </row>
    <row r="17" spans="1:29" ht="17.25" customHeight="1">
      <c r="A17" s="871">
        <v>6</v>
      </c>
      <c r="B17" s="871">
        <v>3</v>
      </c>
      <c r="C17" s="869" t="s">
        <v>267</v>
      </c>
      <c r="D17" s="871" t="s">
        <v>268</v>
      </c>
      <c r="E17" s="871">
        <v>6032</v>
      </c>
      <c r="F17" s="872">
        <v>2.86</v>
      </c>
      <c r="G17" s="1028">
        <v>1</v>
      </c>
      <c r="H17" s="1028">
        <v>12</v>
      </c>
      <c r="I17" s="1028">
        <v>2018</v>
      </c>
      <c r="J17" s="871"/>
      <c r="K17" s="871"/>
      <c r="L17" s="871"/>
      <c r="M17" s="871">
        <v>0.3</v>
      </c>
      <c r="N17" s="871"/>
      <c r="O17" s="871"/>
      <c r="P17" s="871"/>
      <c r="Q17" s="871"/>
      <c r="R17" s="873"/>
      <c r="S17" s="871"/>
      <c r="T17" s="871"/>
      <c r="U17" s="873">
        <f>SUM(K17+L17+M17+N17+O17+P17+R17+S17+T17)</f>
        <v>0.3</v>
      </c>
      <c r="V17" s="873">
        <f t="shared" si="0"/>
        <v>0.68640000000000001</v>
      </c>
      <c r="W17" s="873">
        <f t="shared" si="2"/>
        <v>3.8463999999999996</v>
      </c>
      <c r="X17" s="1015">
        <f t="shared" si="1"/>
        <v>5346.4959999999992</v>
      </c>
      <c r="Y17" s="1011"/>
      <c r="Z17" s="912"/>
    </row>
    <row r="18" spans="1:29" ht="17.25" customHeight="1">
      <c r="A18" s="871">
        <v>7</v>
      </c>
      <c r="B18" s="871">
        <v>4</v>
      </c>
      <c r="C18" s="869" t="s">
        <v>414</v>
      </c>
      <c r="D18" s="871" t="s">
        <v>501</v>
      </c>
      <c r="E18" s="871">
        <v>6032</v>
      </c>
      <c r="F18" s="872">
        <v>2.66</v>
      </c>
      <c r="G18" s="1028">
        <v>7</v>
      </c>
      <c r="H18" s="1028">
        <v>10</v>
      </c>
      <c r="I18" s="1028">
        <v>2015</v>
      </c>
      <c r="J18" s="871"/>
      <c r="K18" s="871"/>
      <c r="L18" s="871"/>
      <c r="M18" s="871">
        <v>0.3</v>
      </c>
      <c r="N18" s="871"/>
      <c r="O18" s="871"/>
      <c r="P18" s="871"/>
      <c r="Q18" s="871"/>
      <c r="R18" s="873"/>
      <c r="S18" s="871"/>
      <c r="T18" s="871"/>
      <c r="U18" s="873">
        <f>SUM(K18+L18+M18+N18+O18+P18+R18+S18+T18)</f>
        <v>0.3</v>
      </c>
      <c r="V18" s="873">
        <f t="shared" si="0"/>
        <v>0.63840000000000008</v>
      </c>
      <c r="W18" s="873">
        <f t="shared" si="2"/>
        <v>3.5983999999999998</v>
      </c>
      <c r="X18" s="1015">
        <f t="shared" si="1"/>
        <v>5001.7759999999998</v>
      </c>
      <c r="Y18" s="1011"/>
      <c r="Z18" s="912"/>
    </row>
    <row r="19" spans="1:29" ht="17.25" customHeight="1">
      <c r="A19" s="871">
        <v>8</v>
      </c>
      <c r="B19" s="871">
        <v>5</v>
      </c>
      <c r="C19" s="869" t="s">
        <v>502</v>
      </c>
      <c r="D19" s="870">
        <v>29531</v>
      </c>
      <c r="E19" s="871" t="s">
        <v>500</v>
      </c>
      <c r="F19" s="874">
        <v>2.72</v>
      </c>
      <c r="G19" s="1028">
        <v>13</v>
      </c>
      <c r="H19" s="1028">
        <v>4</v>
      </c>
      <c r="I19" s="1028">
        <v>2018</v>
      </c>
      <c r="J19" s="871"/>
      <c r="K19" s="871"/>
      <c r="L19" s="871"/>
      <c r="M19" s="871">
        <v>0.3</v>
      </c>
      <c r="N19" s="871"/>
      <c r="O19" s="871"/>
      <c r="P19" s="871"/>
      <c r="Q19" s="871"/>
      <c r="R19" s="873"/>
      <c r="S19" s="871"/>
      <c r="T19" s="871"/>
      <c r="U19" s="873">
        <f>SUM(K19+L19+M19+N19+O19+P19+R19+S19+T19)</f>
        <v>0.3</v>
      </c>
      <c r="V19" s="873">
        <f t="shared" si="0"/>
        <v>0.65280000000000005</v>
      </c>
      <c r="W19" s="873">
        <f t="shared" si="2"/>
        <v>3.6728000000000001</v>
      </c>
      <c r="X19" s="1015">
        <f t="shared" si="1"/>
        <v>5105.192</v>
      </c>
      <c r="Y19" s="1011"/>
      <c r="Z19" s="912"/>
    </row>
    <row r="20" spans="1:29" ht="17.25" customHeight="1">
      <c r="A20" s="871"/>
      <c r="B20" s="871"/>
      <c r="C20" s="1353" t="s">
        <v>503</v>
      </c>
      <c r="D20" s="1353"/>
      <c r="E20" s="871"/>
      <c r="F20" s="874"/>
      <c r="G20" s="1025"/>
      <c r="H20" s="1025"/>
      <c r="I20" s="1026"/>
      <c r="J20" s="871"/>
      <c r="K20" s="871"/>
      <c r="L20" s="871"/>
      <c r="M20" s="871"/>
      <c r="N20" s="871"/>
      <c r="O20" s="871"/>
      <c r="P20" s="871"/>
      <c r="Q20" s="871"/>
      <c r="R20" s="873"/>
      <c r="S20" s="871"/>
      <c r="T20" s="871"/>
      <c r="U20" s="873"/>
      <c r="V20" s="873"/>
      <c r="W20" s="873"/>
      <c r="X20" s="1015"/>
      <c r="Y20" s="1011"/>
      <c r="Z20" s="912"/>
    </row>
    <row r="21" spans="1:29" ht="17.25" customHeight="1">
      <c r="A21" s="871">
        <v>9</v>
      </c>
      <c r="B21" s="871">
        <v>1</v>
      </c>
      <c r="C21" s="869" t="s">
        <v>222</v>
      </c>
      <c r="D21" s="871" t="s">
        <v>504</v>
      </c>
      <c r="E21" s="871" t="s">
        <v>29</v>
      </c>
      <c r="F21" s="916">
        <v>4.0599999999999996</v>
      </c>
      <c r="G21" s="1029">
        <v>1</v>
      </c>
      <c r="H21" s="1029">
        <v>7</v>
      </c>
      <c r="I21" s="1029">
        <v>2018</v>
      </c>
      <c r="J21" s="875">
        <v>6</v>
      </c>
      <c r="K21" s="871">
        <f>F21*J21%</f>
        <v>0.24359999999999996</v>
      </c>
      <c r="L21" s="871">
        <v>0.4</v>
      </c>
      <c r="M21" s="871">
        <v>0.3</v>
      </c>
      <c r="N21" s="871">
        <v>0</v>
      </c>
      <c r="O21" s="871">
        <v>0</v>
      </c>
      <c r="P21" s="871">
        <v>0</v>
      </c>
      <c r="Q21" s="871">
        <v>40</v>
      </c>
      <c r="R21" s="873">
        <f>SUM(F21+K21+L21)*Q21%</f>
        <v>1.88144</v>
      </c>
      <c r="S21" s="871">
        <v>0</v>
      </c>
      <c r="T21" s="871">
        <v>0</v>
      </c>
      <c r="U21" s="873">
        <f>SUM(K21+L21+M21+N21+O21+P21+R21+S21+T21)</f>
        <v>2.82504</v>
      </c>
      <c r="V21" s="873">
        <f t="shared" si="0"/>
        <v>1.1288639999999999</v>
      </c>
      <c r="W21" s="873">
        <f t="shared" si="2"/>
        <v>8.0139040000000001</v>
      </c>
      <c r="X21" s="1015">
        <f t="shared" si="1"/>
        <v>11139.32656</v>
      </c>
      <c r="Y21" s="1011"/>
      <c r="Z21" s="912"/>
    </row>
    <row r="22" spans="1:29" ht="17.25" customHeight="1">
      <c r="A22" s="871">
        <v>10</v>
      </c>
      <c r="B22" s="871">
        <v>2</v>
      </c>
      <c r="C22" s="869" t="s">
        <v>505</v>
      </c>
      <c r="D22" s="870">
        <v>26368</v>
      </c>
      <c r="E22" s="876" t="s">
        <v>206</v>
      </c>
      <c r="F22" s="872">
        <v>2.91</v>
      </c>
      <c r="G22" s="1028">
        <v>1</v>
      </c>
      <c r="H22" s="1028">
        <v>7</v>
      </c>
      <c r="I22" s="1028">
        <v>2015</v>
      </c>
      <c r="J22" s="871"/>
      <c r="K22" s="871"/>
      <c r="L22" s="871">
        <v>0.3</v>
      </c>
      <c r="M22" s="871">
        <v>0.3</v>
      </c>
      <c r="N22" s="871"/>
      <c r="O22" s="871"/>
      <c r="P22" s="871">
        <v>0.2</v>
      </c>
      <c r="Q22" s="871">
        <v>40</v>
      </c>
      <c r="R22" s="873">
        <f>SUM(F22+K22+L22)*Q22%</f>
        <v>1.284</v>
      </c>
      <c r="S22" s="871"/>
      <c r="T22" s="871"/>
      <c r="U22" s="873">
        <f>SUM(K22+L22+M22+N22+O22+P22+R22+S22+T22)</f>
        <v>2.0840000000000001</v>
      </c>
      <c r="V22" s="873">
        <f t="shared" ref="V22:V35" si="3">SUM(F22+K22+L22+S22)*24/100</f>
        <v>0.77039999999999997</v>
      </c>
      <c r="W22" s="873">
        <f>SUM(F22+U22+V22)</f>
        <v>5.7644000000000002</v>
      </c>
      <c r="X22" s="1015">
        <f t="shared" si="1"/>
        <v>8012.5160000000005</v>
      </c>
      <c r="Y22" s="1011"/>
      <c r="Z22" s="912"/>
      <c r="AA22" s="13"/>
      <c r="AB22" s="13"/>
      <c r="AC22" s="13"/>
    </row>
    <row r="23" spans="1:29" ht="17.25" customHeight="1">
      <c r="A23" s="871">
        <v>11</v>
      </c>
      <c r="B23" s="871">
        <v>3</v>
      </c>
      <c r="C23" s="869" t="s">
        <v>506</v>
      </c>
      <c r="D23" s="871" t="s">
        <v>507</v>
      </c>
      <c r="E23" s="871">
        <v>16122</v>
      </c>
      <c r="F23" s="872">
        <v>3.45</v>
      </c>
      <c r="G23" s="1028">
        <v>1</v>
      </c>
      <c r="H23" s="1028">
        <v>12</v>
      </c>
      <c r="I23" s="1028">
        <v>2015</v>
      </c>
      <c r="J23" s="871"/>
      <c r="K23" s="871"/>
      <c r="L23" s="871"/>
      <c r="M23" s="871">
        <v>0.3</v>
      </c>
      <c r="N23" s="871"/>
      <c r="O23" s="871"/>
      <c r="P23" s="871">
        <v>0.4</v>
      </c>
      <c r="Q23" s="871">
        <v>40</v>
      </c>
      <c r="R23" s="873">
        <f>SUM(F23+K23+L23)*Q23%</f>
        <v>1.3800000000000001</v>
      </c>
      <c r="S23" s="871"/>
      <c r="T23" s="871"/>
      <c r="U23" s="873">
        <f>SUM(K23+L23+M23+N23+O23+P23+R23+S23+T23)</f>
        <v>2.08</v>
      </c>
      <c r="V23" s="873">
        <f t="shared" si="3"/>
        <v>0.82800000000000007</v>
      </c>
      <c r="W23" s="873">
        <f>SUM(F23+U23+V23)</f>
        <v>6.3580000000000005</v>
      </c>
      <c r="X23" s="1015">
        <f t="shared" si="1"/>
        <v>8837.6200000000008</v>
      </c>
      <c r="Y23" s="1011"/>
      <c r="Z23" s="912"/>
      <c r="AA23" s="13"/>
      <c r="AB23" s="13"/>
      <c r="AC23" s="13"/>
    </row>
    <row r="24" spans="1:29" s="13" customFormat="1" ht="17.25" customHeight="1">
      <c r="A24" s="871">
        <v>12</v>
      </c>
      <c r="B24" s="871"/>
      <c r="C24" s="869" t="s">
        <v>243</v>
      </c>
      <c r="D24" s="870">
        <v>32752</v>
      </c>
      <c r="E24" s="1002" t="s">
        <v>674</v>
      </c>
      <c r="F24" s="872">
        <v>2.34</v>
      </c>
      <c r="G24" s="1028">
        <v>1</v>
      </c>
      <c r="H24" s="1028">
        <v>4</v>
      </c>
      <c r="I24" s="1028">
        <v>2019</v>
      </c>
      <c r="J24" s="871"/>
      <c r="K24" s="871"/>
      <c r="L24" s="871"/>
      <c r="M24" s="871">
        <v>0.3</v>
      </c>
      <c r="N24" s="871"/>
      <c r="O24" s="871"/>
      <c r="P24" s="871">
        <v>0.2</v>
      </c>
      <c r="Q24" s="871"/>
      <c r="R24" s="873"/>
      <c r="S24" s="871"/>
      <c r="T24" s="871"/>
      <c r="U24" s="873">
        <f>SUM(K24+L24+M24+N24+O24+P24+R24+S24+T24)</f>
        <v>0.5</v>
      </c>
      <c r="V24" s="873">
        <f t="shared" ref="V24" si="4">SUM(F24+K24+L24+S24)*24/100</f>
        <v>0.56159999999999999</v>
      </c>
      <c r="W24" s="873">
        <f>SUM(F24+U24+V24)</f>
        <v>3.4015999999999997</v>
      </c>
      <c r="X24" s="1015">
        <f t="shared" ref="X24" si="5">SUM(W24)*1390</f>
        <v>4728.2239999999993</v>
      </c>
      <c r="Y24" s="1011"/>
      <c r="Z24" s="912"/>
    </row>
    <row r="25" spans="1:29" ht="17.25" customHeight="1">
      <c r="A25" s="871"/>
      <c r="B25" s="871"/>
      <c r="C25" s="1353" t="s">
        <v>508</v>
      </c>
      <c r="D25" s="1353"/>
      <c r="E25" s="871"/>
      <c r="F25" s="872"/>
      <c r="G25" s="1025"/>
      <c r="H25" s="1025"/>
      <c r="I25" s="1026"/>
      <c r="J25" s="871"/>
      <c r="K25" s="871"/>
      <c r="L25" s="871"/>
      <c r="M25" s="871"/>
      <c r="N25" s="871"/>
      <c r="O25" s="871"/>
      <c r="P25" s="871"/>
      <c r="Q25" s="871"/>
      <c r="R25" s="873"/>
      <c r="S25" s="871"/>
      <c r="T25" s="871"/>
      <c r="U25" s="873"/>
      <c r="V25" s="873"/>
      <c r="W25" s="873"/>
      <c r="X25" s="1015"/>
      <c r="Y25" s="1011"/>
      <c r="Z25" s="912"/>
      <c r="AA25" s="13"/>
      <c r="AB25" s="13"/>
      <c r="AC25" s="13"/>
    </row>
    <row r="26" spans="1:29" ht="17.25" customHeight="1">
      <c r="A26" s="871">
        <v>13</v>
      </c>
      <c r="B26" s="871">
        <v>1</v>
      </c>
      <c r="C26" s="869" t="s">
        <v>509</v>
      </c>
      <c r="D26" s="871" t="s">
        <v>510</v>
      </c>
      <c r="E26" s="871" t="s">
        <v>29</v>
      </c>
      <c r="F26" s="872">
        <v>4.0599999999999996</v>
      </c>
      <c r="G26" s="1028">
        <v>1</v>
      </c>
      <c r="H26" s="1028">
        <v>12</v>
      </c>
      <c r="I26" s="1029">
        <v>2018</v>
      </c>
      <c r="J26" s="875">
        <v>11</v>
      </c>
      <c r="K26" s="871">
        <f t="shared" ref="K26:K72" si="6">SUM(F26*J26%)</f>
        <v>0.44659999999999994</v>
      </c>
      <c r="L26" s="871">
        <v>0.3</v>
      </c>
      <c r="M26" s="871">
        <v>0.3</v>
      </c>
      <c r="N26" s="871"/>
      <c r="O26" s="871"/>
      <c r="P26" s="871"/>
      <c r="Q26" s="871">
        <v>40</v>
      </c>
      <c r="R26" s="873">
        <f>SUM(F26+K26+L26)*Q26%</f>
        <v>1.9226399999999999</v>
      </c>
      <c r="S26" s="871"/>
      <c r="T26" s="871"/>
      <c r="U26" s="873">
        <f>SUM(K26+L26+M26+N26+O26+P26+R26+S26+T26)</f>
        <v>2.9692400000000001</v>
      </c>
      <c r="V26" s="873">
        <f t="shared" si="3"/>
        <v>1.1535839999999999</v>
      </c>
      <c r="W26" s="873">
        <f>SUM(F26+U26+V26)</f>
        <v>8.1828240000000001</v>
      </c>
      <c r="X26" s="1015">
        <f t="shared" si="1"/>
        <v>11374.12536</v>
      </c>
      <c r="Y26" s="1011"/>
      <c r="Z26" s="912"/>
      <c r="AA26" s="13"/>
      <c r="AB26" s="13"/>
      <c r="AC26" s="13"/>
    </row>
    <row r="27" spans="1:29" ht="17.25" customHeight="1">
      <c r="A27" s="871">
        <v>14</v>
      </c>
      <c r="B27" s="871">
        <v>2</v>
      </c>
      <c r="C27" s="869" t="s">
        <v>511</v>
      </c>
      <c r="D27" s="870">
        <v>31538</v>
      </c>
      <c r="E27" s="871" t="s">
        <v>29</v>
      </c>
      <c r="F27" s="872">
        <v>2.66</v>
      </c>
      <c r="G27" s="1027">
        <v>2</v>
      </c>
      <c r="H27" s="1027">
        <v>6</v>
      </c>
      <c r="I27" s="1027">
        <v>2018</v>
      </c>
      <c r="J27" s="871"/>
      <c r="K27" s="871"/>
      <c r="L27" s="871"/>
      <c r="M27" s="871">
        <v>0.3</v>
      </c>
      <c r="N27" s="871"/>
      <c r="O27" s="871"/>
      <c r="P27" s="871">
        <v>0.2</v>
      </c>
      <c r="Q27" s="871">
        <v>40</v>
      </c>
      <c r="R27" s="873">
        <f>SUM(F27+K27+L27)*Q27%</f>
        <v>1.0640000000000001</v>
      </c>
      <c r="S27" s="871"/>
      <c r="T27" s="871"/>
      <c r="U27" s="873">
        <f>SUM(K27+L27+M27+N27+O27+P27+R27+S27+T27)</f>
        <v>1.5640000000000001</v>
      </c>
      <c r="V27" s="873">
        <f t="shared" si="3"/>
        <v>0.63840000000000008</v>
      </c>
      <c r="W27" s="873">
        <f>SUM(F27+U27+V27)</f>
        <v>4.8624000000000001</v>
      </c>
      <c r="X27" s="1015">
        <f t="shared" si="1"/>
        <v>6758.7359999999999</v>
      </c>
      <c r="Y27" s="1011"/>
      <c r="Z27" s="912"/>
      <c r="AA27" s="13"/>
      <c r="AB27" s="13"/>
      <c r="AC27" s="13"/>
    </row>
    <row r="28" spans="1:29" ht="17.25" customHeight="1">
      <c r="A28" s="871">
        <v>15</v>
      </c>
      <c r="B28" s="871">
        <v>3</v>
      </c>
      <c r="C28" s="869" t="s">
        <v>512</v>
      </c>
      <c r="D28" s="870">
        <v>32426</v>
      </c>
      <c r="E28" s="871" t="s">
        <v>29</v>
      </c>
      <c r="F28" s="874">
        <v>2.46</v>
      </c>
      <c r="G28" s="1028">
        <v>13</v>
      </c>
      <c r="H28" s="1028">
        <v>4</v>
      </c>
      <c r="I28" s="1028">
        <v>2018</v>
      </c>
      <c r="J28" s="871"/>
      <c r="K28" s="871"/>
      <c r="L28" s="871"/>
      <c r="M28" s="871">
        <v>0.3</v>
      </c>
      <c r="N28" s="871"/>
      <c r="O28" s="871"/>
      <c r="P28" s="871"/>
      <c r="Q28" s="871">
        <v>40</v>
      </c>
      <c r="R28" s="873">
        <f>SUM(F28+K28+L28)*Q28%</f>
        <v>0.98399999999999999</v>
      </c>
      <c r="S28" s="871"/>
      <c r="T28" s="871"/>
      <c r="U28" s="873">
        <f>SUM(K28+L28+M28+N28+O28+P28+R28+S28+T28)</f>
        <v>1.284</v>
      </c>
      <c r="V28" s="873">
        <f t="shared" si="3"/>
        <v>0.59040000000000004</v>
      </c>
      <c r="W28" s="873">
        <f>SUM(F28+U28+V28)</f>
        <v>4.3343999999999996</v>
      </c>
      <c r="X28" s="1015">
        <f t="shared" si="1"/>
        <v>6024.8159999999998</v>
      </c>
      <c r="Y28" s="1011"/>
      <c r="Z28" s="912"/>
      <c r="AA28" s="13"/>
      <c r="AB28" s="13"/>
      <c r="AC28" s="13"/>
    </row>
    <row r="29" spans="1:29" ht="17.25" customHeight="1">
      <c r="A29" s="871">
        <v>16</v>
      </c>
      <c r="B29" s="871">
        <v>4</v>
      </c>
      <c r="C29" s="869" t="s">
        <v>513</v>
      </c>
      <c r="D29" s="870">
        <v>32213</v>
      </c>
      <c r="E29" s="871" t="s">
        <v>514</v>
      </c>
      <c r="F29" s="874">
        <v>2.34</v>
      </c>
      <c r="G29" s="1025" t="s">
        <v>631</v>
      </c>
      <c r="H29" s="1025" t="s">
        <v>632</v>
      </c>
      <c r="I29" s="1026">
        <v>2018</v>
      </c>
      <c r="J29" s="871"/>
      <c r="K29" s="871"/>
      <c r="L29" s="871"/>
      <c r="M29" s="871">
        <v>0.3</v>
      </c>
      <c r="N29" s="871"/>
      <c r="O29" s="871"/>
      <c r="P29" s="871"/>
      <c r="Q29" s="871"/>
      <c r="R29" s="873"/>
      <c r="S29" s="871"/>
      <c r="T29" s="871"/>
      <c r="U29" s="873">
        <f>SUM(K29+L29+M29+N29+O29+P29+R29+S29+T29)</f>
        <v>0.3</v>
      </c>
      <c r="V29" s="873">
        <f t="shared" si="3"/>
        <v>0.56159999999999999</v>
      </c>
      <c r="W29" s="873">
        <f>SUM(F29+U29+V29)</f>
        <v>3.2015999999999996</v>
      </c>
      <c r="X29" s="1015">
        <f t="shared" si="1"/>
        <v>4450.2239999999993</v>
      </c>
      <c r="Y29" s="1011"/>
      <c r="Z29" s="912"/>
      <c r="AA29" s="13"/>
      <c r="AB29" s="13"/>
      <c r="AC29" s="13"/>
    </row>
    <row r="30" spans="1:29" ht="17.25" customHeight="1">
      <c r="A30" s="871"/>
      <c r="B30" s="871">
        <v>5</v>
      </c>
      <c r="C30" s="1353" t="s">
        <v>515</v>
      </c>
      <c r="D30" s="1353"/>
      <c r="E30" s="871"/>
      <c r="F30" s="874"/>
      <c r="G30" s="1025"/>
      <c r="H30" s="1025"/>
      <c r="I30" s="1026"/>
      <c r="J30" s="871"/>
      <c r="K30" s="871"/>
      <c r="L30" s="871"/>
      <c r="M30" s="871"/>
      <c r="N30" s="871"/>
      <c r="O30" s="871"/>
      <c r="P30" s="871"/>
      <c r="Q30" s="871"/>
      <c r="R30" s="873"/>
      <c r="S30" s="871"/>
      <c r="T30" s="871"/>
      <c r="U30" s="873"/>
      <c r="V30" s="873">
        <f t="shared" si="3"/>
        <v>0</v>
      </c>
      <c r="W30" s="873"/>
      <c r="X30" s="1015"/>
      <c r="Y30" s="1011"/>
      <c r="Z30" s="912"/>
      <c r="AA30" s="13"/>
      <c r="AB30" s="13"/>
      <c r="AC30" s="13"/>
    </row>
    <row r="31" spans="1:29" ht="17.25" customHeight="1">
      <c r="A31" s="871">
        <v>17</v>
      </c>
      <c r="B31" s="871">
        <v>6</v>
      </c>
      <c r="C31" s="869" t="s">
        <v>97</v>
      </c>
      <c r="D31" s="870">
        <v>28806</v>
      </c>
      <c r="E31" s="871" t="s">
        <v>165</v>
      </c>
      <c r="F31" s="872">
        <v>3</v>
      </c>
      <c r="G31" s="1028">
        <v>15</v>
      </c>
      <c r="H31" s="1028">
        <v>1</v>
      </c>
      <c r="I31" s="1028">
        <v>2016</v>
      </c>
      <c r="J31" s="871"/>
      <c r="K31" s="871"/>
      <c r="L31" s="871">
        <v>0.4</v>
      </c>
      <c r="M31" s="871">
        <v>0.3</v>
      </c>
      <c r="N31" s="871"/>
      <c r="O31" s="871"/>
      <c r="P31" s="871"/>
      <c r="Q31" s="871">
        <v>40</v>
      </c>
      <c r="R31" s="873">
        <f>SUM(F31+K31+L31)*Q31%</f>
        <v>1.36</v>
      </c>
      <c r="S31" s="871"/>
      <c r="T31" s="871"/>
      <c r="U31" s="873">
        <f>SUM(K31+L31+M31+N31+O31+P31+R31+S31+T31)</f>
        <v>2.06</v>
      </c>
      <c r="V31" s="873">
        <f t="shared" si="3"/>
        <v>0.81599999999999995</v>
      </c>
      <c r="W31" s="873">
        <f>SUM(F31+U31+V31)</f>
        <v>5.8760000000000003</v>
      </c>
      <c r="X31" s="1015">
        <f t="shared" si="1"/>
        <v>8167.64</v>
      </c>
      <c r="Y31" s="1011"/>
      <c r="Z31" s="912"/>
      <c r="AA31" s="13"/>
      <c r="AB31" s="13"/>
      <c r="AC31" s="13"/>
    </row>
    <row r="32" spans="1:29" ht="17.25" customHeight="1">
      <c r="A32" s="871">
        <v>18</v>
      </c>
      <c r="B32" s="871">
        <v>7</v>
      </c>
      <c r="C32" s="766" t="s">
        <v>271</v>
      </c>
      <c r="D32" s="767">
        <v>32419</v>
      </c>
      <c r="E32" s="875" t="s">
        <v>38</v>
      </c>
      <c r="F32" s="874">
        <v>2.66</v>
      </c>
      <c r="G32" s="1028">
        <v>2</v>
      </c>
      <c r="H32" s="1028">
        <v>6</v>
      </c>
      <c r="I32" s="1028">
        <v>2018</v>
      </c>
      <c r="J32" s="875"/>
      <c r="K32" s="875"/>
      <c r="L32" s="875">
        <v>0.3</v>
      </c>
      <c r="M32" s="875">
        <v>0.3</v>
      </c>
      <c r="N32" s="875"/>
      <c r="O32" s="875"/>
      <c r="P32" s="875"/>
      <c r="Q32" s="875">
        <v>40</v>
      </c>
      <c r="R32" s="877">
        <f>SUM(F32+K32+L32)*Q32%</f>
        <v>1.1839999999999999</v>
      </c>
      <c r="S32" s="875"/>
      <c r="T32" s="875"/>
      <c r="U32" s="877">
        <f>SUM(K32+L32+M32+N32+O32+P32+R32+S32+T32)</f>
        <v>1.7839999999999998</v>
      </c>
      <c r="V32" s="873">
        <f t="shared" si="3"/>
        <v>0.71039999999999992</v>
      </c>
      <c r="W32" s="877">
        <f>SUM(F32+U32+V32)</f>
        <v>5.1543999999999999</v>
      </c>
      <c r="X32" s="1016">
        <f t="shared" si="1"/>
        <v>7164.616</v>
      </c>
      <c r="Y32" s="1011"/>
      <c r="Z32" s="912"/>
      <c r="AA32" s="13"/>
      <c r="AB32" s="13"/>
      <c r="AC32" s="13"/>
    </row>
    <row r="33" spans="1:29" ht="17.25" customHeight="1">
      <c r="A33" s="871"/>
      <c r="B33" s="871"/>
      <c r="C33" s="1353" t="s">
        <v>516</v>
      </c>
      <c r="D33" s="1353"/>
      <c r="E33" s="871"/>
      <c r="F33" s="872"/>
      <c r="G33" s="1025"/>
      <c r="H33" s="1025"/>
      <c r="I33" s="1026"/>
      <c r="J33" s="871"/>
      <c r="K33" s="871"/>
      <c r="L33" s="871"/>
      <c r="M33" s="871"/>
      <c r="N33" s="871"/>
      <c r="O33" s="871"/>
      <c r="P33" s="871"/>
      <c r="Q33" s="871"/>
      <c r="R33" s="873"/>
      <c r="S33" s="871"/>
      <c r="T33" s="871"/>
      <c r="U33" s="873"/>
      <c r="V33" s="873"/>
      <c r="W33" s="873"/>
      <c r="X33" s="1015"/>
      <c r="Y33" s="1011"/>
      <c r="Z33" s="912"/>
      <c r="AA33" s="13"/>
      <c r="AB33" s="13"/>
      <c r="AC33" s="13"/>
    </row>
    <row r="34" spans="1:29" ht="17.25" customHeight="1">
      <c r="A34" s="871">
        <v>19</v>
      </c>
      <c r="B34" s="871">
        <v>1</v>
      </c>
      <c r="C34" s="869" t="s">
        <v>517</v>
      </c>
      <c r="D34" s="870">
        <v>31299</v>
      </c>
      <c r="E34" s="871" t="s">
        <v>31</v>
      </c>
      <c r="F34" s="872">
        <v>3</v>
      </c>
      <c r="G34" s="1028">
        <v>13</v>
      </c>
      <c r="H34" s="1028">
        <v>7</v>
      </c>
      <c r="I34" s="1028">
        <v>2018</v>
      </c>
      <c r="J34" s="871"/>
      <c r="K34" s="871"/>
      <c r="L34" s="871">
        <v>0.3</v>
      </c>
      <c r="M34" s="871">
        <v>0.3</v>
      </c>
      <c r="N34" s="878">
        <v>0.3</v>
      </c>
      <c r="O34" s="871"/>
      <c r="P34" s="871"/>
      <c r="Q34" s="871">
        <v>60</v>
      </c>
      <c r="R34" s="873">
        <f>SUM(F34+K34+L34)*Q34%</f>
        <v>1.9799999999999998</v>
      </c>
      <c r="S34" s="871"/>
      <c r="T34" s="871"/>
      <c r="U34" s="873">
        <f t="shared" ref="U34:U48" si="7">SUM(K34+L34+M34+N34+O34+P34+R34+S34+T34)</f>
        <v>2.88</v>
      </c>
      <c r="V34" s="873">
        <f t="shared" si="3"/>
        <v>0.79199999999999993</v>
      </c>
      <c r="W34" s="873">
        <f>SUM(F34+U34+V34)</f>
        <v>6.6719999999999997</v>
      </c>
      <c r="X34" s="1015">
        <f t="shared" si="1"/>
        <v>9274.08</v>
      </c>
      <c r="Y34" s="1011"/>
      <c r="Z34" s="912"/>
      <c r="AA34" s="13"/>
      <c r="AB34" s="13"/>
      <c r="AC34" s="13"/>
    </row>
    <row r="35" spans="1:29" ht="17.25" customHeight="1">
      <c r="A35" s="871">
        <v>20</v>
      </c>
      <c r="B35" s="871">
        <v>2</v>
      </c>
      <c r="C35" s="869" t="s">
        <v>518</v>
      </c>
      <c r="D35" s="871" t="s">
        <v>519</v>
      </c>
      <c r="E35" s="871" t="s">
        <v>38</v>
      </c>
      <c r="F35" s="916">
        <v>4.0599999999999996</v>
      </c>
      <c r="G35" s="1028">
        <v>20</v>
      </c>
      <c r="H35" s="1028">
        <v>10</v>
      </c>
      <c r="I35" s="1028">
        <v>2018</v>
      </c>
      <c r="J35" s="875">
        <v>7</v>
      </c>
      <c r="K35" s="871">
        <f>J35%*F35</f>
        <v>0.28420000000000001</v>
      </c>
      <c r="L35" s="871">
        <v>0.3</v>
      </c>
      <c r="M35" s="871">
        <v>0.3</v>
      </c>
      <c r="N35" s="878">
        <v>0.3</v>
      </c>
      <c r="O35" s="871"/>
      <c r="P35" s="871"/>
      <c r="Q35" s="871">
        <v>60</v>
      </c>
      <c r="R35" s="873">
        <f>SUM(F35+K35+L35)*Q35%</f>
        <v>2.7865199999999999</v>
      </c>
      <c r="S35" s="871"/>
      <c r="T35" s="871"/>
      <c r="U35" s="873">
        <f t="shared" si="7"/>
        <v>3.97072</v>
      </c>
      <c r="V35" s="873">
        <f t="shared" si="3"/>
        <v>1.1146079999999998</v>
      </c>
      <c r="W35" s="873">
        <f>SUM(F35+U35+V35)</f>
        <v>9.1453279999999992</v>
      </c>
      <c r="X35" s="1015">
        <f t="shared" si="1"/>
        <v>12712.00592</v>
      </c>
      <c r="Y35" s="1011"/>
      <c r="Z35" s="912"/>
      <c r="AA35" s="13"/>
      <c r="AB35" s="13"/>
      <c r="AC35" s="13"/>
    </row>
    <row r="36" spans="1:29" ht="17.25" customHeight="1">
      <c r="A36" s="871">
        <v>21</v>
      </c>
      <c r="B36" s="871">
        <v>3</v>
      </c>
      <c r="C36" s="869" t="s">
        <v>468</v>
      </c>
      <c r="D36" s="871" t="s">
        <v>520</v>
      </c>
      <c r="E36" s="871" t="s">
        <v>31</v>
      </c>
      <c r="F36" s="872">
        <v>2.67</v>
      </c>
      <c r="G36" s="1028">
        <v>5</v>
      </c>
      <c r="H36" s="1028">
        <v>10</v>
      </c>
      <c r="I36" s="1028">
        <v>2018</v>
      </c>
      <c r="J36" s="871"/>
      <c r="K36" s="871">
        <f t="shared" si="6"/>
        <v>0</v>
      </c>
      <c r="L36" s="871"/>
      <c r="M36" s="871">
        <v>0.3</v>
      </c>
      <c r="N36" s="878"/>
      <c r="O36" s="871"/>
      <c r="P36" s="879">
        <v>0.4</v>
      </c>
      <c r="Q36" s="871">
        <v>70</v>
      </c>
      <c r="R36" s="873">
        <f t="shared" ref="R36:R48" si="8">SUM(F36+K36+L36)*Q36%</f>
        <v>1.8689999999999998</v>
      </c>
      <c r="S36" s="871"/>
      <c r="T36" s="871"/>
      <c r="U36" s="873">
        <f t="shared" si="7"/>
        <v>2.569</v>
      </c>
      <c r="V36" s="873">
        <f t="shared" ref="V36:V63" si="9">SUM(F36+K36+L36+S36)*24/100</f>
        <v>0.64080000000000004</v>
      </c>
      <c r="W36" s="873">
        <f t="shared" ref="W36:W48" si="10">SUM(F36+U36+V36)</f>
        <v>5.8797999999999995</v>
      </c>
      <c r="X36" s="1015">
        <f t="shared" si="1"/>
        <v>8172.9219999999996</v>
      </c>
      <c r="Y36" s="1011"/>
      <c r="Z36" s="912"/>
      <c r="AA36" s="13"/>
      <c r="AB36" s="13"/>
      <c r="AC36" s="13"/>
    </row>
    <row r="37" spans="1:29" ht="17.25" customHeight="1">
      <c r="A37" s="871">
        <v>22</v>
      </c>
      <c r="B37" s="871">
        <v>4</v>
      </c>
      <c r="C37" s="869" t="s">
        <v>521</v>
      </c>
      <c r="D37" s="870">
        <v>31845</v>
      </c>
      <c r="E37" s="871" t="s">
        <v>29</v>
      </c>
      <c r="F37" s="872">
        <v>2.67</v>
      </c>
      <c r="G37" s="1028">
        <v>7</v>
      </c>
      <c r="H37" s="1028">
        <v>10</v>
      </c>
      <c r="I37" s="1028">
        <v>2015</v>
      </c>
      <c r="J37" s="871"/>
      <c r="K37" s="871">
        <f t="shared" si="6"/>
        <v>0</v>
      </c>
      <c r="L37" s="871"/>
      <c r="M37" s="871">
        <v>0.3</v>
      </c>
      <c r="N37" s="878">
        <v>0.3</v>
      </c>
      <c r="O37" s="871"/>
      <c r="P37" s="878"/>
      <c r="Q37" s="871">
        <v>60</v>
      </c>
      <c r="R37" s="873">
        <f t="shared" si="8"/>
        <v>1.6019999999999999</v>
      </c>
      <c r="S37" s="871"/>
      <c r="T37" s="871"/>
      <c r="U37" s="873">
        <f t="shared" si="7"/>
        <v>2.202</v>
      </c>
      <c r="V37" s="873">
        <f t="shared" si="9"/>
        <v>0.64080000000000004</v>
      </c>
      <c r="W37" s="873">
        <f t="shared" si="10"/>
        <v>5.5128000000000004</v>
      </c>
      <c r="X37" s="1015">
        <f t="shared" si="1"/>
        <v>7662.7920000000004</v>
      </c>
      <c r="Y37" s="1011"/>
      <c r="Z37" s="912"/>
      <c r="AA37" s="13"/>
      <c r="AB37" s="13"/>
      <c r="AC37" s="13"/>
    </row>
    <row r="38" spans="1:29" ht="17.25" customHeight="1">
      <c r="A38" s="871">
        <v>23</v>
      </c>
      <c r="B38" s="871">
        <v>5</v>
      </c>
      <c r="C38" s="869" t="s">
        <v>522</v>
      </c>
      <c r="D38" s="870">
        <v>29532</v>
      </c>
      <c r="E38" s="875" t="s">
        <v>165</v>
      </c>
      <c r="F38" s="874">
        <v>3</v>
      </c>
      <c r="G38" s="1027">
        <v>2</v>
      </c>
      <c r="H38" s="1027">
        <v>11</v>
      </c>
      <c r="I38" s="1030">
        <v>2017</v>
      </c>
      <c r="J38" s="871"/>
      <c r="K38" s="871"/>
      <c r="L38" s="871"/>
      <c r="M38" s="871">
        <v>0.3</v>
      </c>
      <c r="N38" s="878">
        <v>0.3</v>
      </c>
      <c r="O38" s="871"/>
      <c r="P38" s="871"/>
      <c r="Q38" s="871">
        <v>60</v>
      </c>
      <c r="R38" s="873">
        <f t="shared" si="8"/>
        <v>1.7999999999999998</v>
      </c>
      <c r="S38" s="871"/>
      <c r="T38" s="871"/>
      <c r="U38" s="873">
        <f t="shared" si="7"/>
        <v>2.4</v>
      </c>
      <c r="V38" s="873">
        <f t="shared" si="9"/>
        <v>0.72</v>
      </c>
      <c r="W38" s="873">
        <f t="shared" si="10"/>
        <v>6.12</v>
      </c>
      <c r="X38" s="1015">
        <f t="shared" si="1"/>
        <v>8506.7999999999993</v>
      </c>
      <c r="Y38" s="1011"/>
      <c r="Z38" s="912"/>
    </row>
    <row r="39" spans="1:29" ht="17.25" customHeight="1">
      <c r="A39" s="871">
        <v>24</v>
      </c>
      <c r="B39" s="871">
        <v>6</v>
      </c>
      <c r="C39" s="869" t="s">
        <v>523</v>
      </c>
      <c r="D39" s="871" t="s">
        <v>524</v>
      </c>
      <c r="E39" s="871" t="s">
        <v>29</v>
      </c>
      <c r="F39" s="874">
        <v>2.46</v>
      </c>
      <c r="G39" s="1028">
        <v>13</v>
      </c>
      <c r="H39" s="1028">
        <v>4</v>
      </c>
      <c r="I39" s="1028">
        <v>2018</v>
      </c>
      <c r="J39" s="871"/>
      <c r="K39" s="871"/>
      <c r="L39" s="871"/>
      <c r="M39" s="871">
        <v>0.3</v>
      </c>
      <c r="N39" s="878"/>
      <c r="O39" s="871"/>
      <c r="P39" s="871"/>
      <c r="Q39" s="875">
        <v>50</v>
      </c>
      <c r="R39" s="873">
        <f t="shared" si="8"/>
        <v>1.23</v>
      </c>
      <c r="S39" s="871"/>
      <c r="T39" s="871"/>
      <c r="U39" s="873">
        <f t="shared" si="7"/>
        <v>1.53</v>
      </c>
      <c r="V39" s="873">
        <f t="shared" si="9"/>
        <v>0.59040000000000004</v>
      </c>
      <c r="W39" s="873">
        <f t="shared" si="10"/>
        <v>4.5804</v>
      </c>
      <c r="X39" s="1015">
        <f t="shared" si="1"/>
        <v>6366.7560000000003</v>
      </c>
      <c r="Y39" s="1011"/>
      <c r="Z39" s="912"/>
    </row>
    <row r="40" spans="1:29" ht="17.25" customHeight="1">
      <c r="A40" s="871">
        <v>25</v>
      </c>
      <c r="B40" s="871">
        <v>7</v>
      </c>
      <c r="C40" s="869" t="s">
        <v>525</v>
      </c>
      <c r="D40" s="870">
        <v>29861</v>
      </c>
      <c r="E40" s="871" t="s">
        <v>29</v>
      </c>
      <c r="F40" s="874">
        <v>2.46</v>
      </c>
      <c r="G40" s="1028">
        <v>13</v>
      </c>
      <c r="H40" s="1028">
        <v>4</v>
      </c>
      <c r="I40" s="1028">
        <v>2018</v>
      </c>
      <c r="J40" s="871"/>
      <c r="K40" s="871"/>
      <c r="L40" s="871"/>
      <c r="M40" s="871">
        <v>0.3</v>
      </c>
      <c r="N40" s="878">
        <v>0.3</v>
      </c>
      <c r="O40" s="871"/>
      <c r="P40" s="871"/>
      <c r="Q40" s="871">
        <v>60</v>
      </c>
      <c r="R40" s="873">
        <f t="shared" si="8"/>
        <v>1.476</v>
      </c>
      <c r="S40" s="871"/>
      <c r="T40" s="871"/>
      <c r="U40" s="873">
        <f t="shared" si="7"/>
        <v>2.0760000000000001</v>
      </c>
      <c r="V40" s="873">
        <f t="shared" si="9"/>
        <v>0.59040000000000004</v>
      </c>
      <c r="W40" s="873">
        <f t="shared" si="10"/>
        <v>5.1263999999999994</v>
      </c>
      <c r="X40" s="1015">
        <f t="shared" si="1"/>
        <v>7125.695999999999</v>
      </c>
      <c r="Y40" s="1011"/>
      <c r="Z40" s="912"/>
      <c r="AA40" s="911"/>
      <c r="AB40" s="911"/>
      <c r="AC40" s="911"/>
    </row>
    <row r="41" spans="1:29" ht="17.25" customHeight="1">
      <c r="A41" s="871">
        <v>26</v>
      </c>
      <c r="B41" s="871">
        <v>8</v>
      </c>
      <c r="C41" s="869" t="s">
        <v>526</v>
      </c>
      <c r="D41" s="871" t="s">
        <v>527</v>
      </c>
      <c r="E41" s="871" t="s">
        <v>38</v>
      </c>
      <c r="F41" s="874">
        <v>2.46</v>
      </c>
      <c r="G41" s="1028">
        <v>1</v>
      </c>
      <c r="H41" s="1028">
        <v>4</v>
      </c>
      <c r="I41" s="1028">
        <v>2018</v>
      </c>
      <c r="J41" s="871"/>
      <c r="K41" s="871"/>
      <c r="L41" s="871"/>
      <c r="M41" s="871">
        <v>0.3</v>
      </c>
      <c r="N41" s="871"/>
      <c r="O41" s="871"/>
      <c r="P41" s="871">
        <v>0.4</v>
      </c>
      <c r="Q41" s="871">
        <v>60</v>
      </c>
      <c r="R41" s="873">
        <f t="shared" si="8"/>
        <v>1.476</v>
      </c>
      <c r="S41" s="871"/>
      <c r="T41" s="871"/>
      <c r="U41" s="873">
        <f t="shared" si="7"/>
        <v>2.1760000000000002</v>
      </c>
      <c r="V41" s="873">
        <f t="shared" si="9"/>
        <v>0.59040000000000004</v>
      </c>
      <c r="W41" s="873">
        <f t="shared" si="10"/>
        <v>5.2263999999999999</v>
      </c>
      <c r="X41" s="1015">
        <f t="shared" si="1"/>
        <v>7264.6959999999999</v>
      </c>
      <c r="Y41" s="1011"/>
      <c r="Z41" s="912"/>
    </row>
    <row r="42" spans="1:29" ht="17.25" customHeight="1">
      <c r="A42" s="871">
        <v>27</v>
      </c>
      <c r="B42" s="871">
        <v>9</v>
      </c>
      <c r="C42" s="869" t="s">
        <v>528</v>
      </c>
      <c r="D42" s="870">
        <v>32966</v>
      </c>
      <c r="E42" s="871" t="s">
        <v>38</v>
      </c>
      <c r="F42" s="874">
        <v>2.2599999999999998</v>
      </c>
      <c r="G42" s="1028">
        <v>1</v>
      </c>
      <c r="H42" s="1028">
        <v>4</v>
      </c>
      <c r="I42" s="1028">
        <v>2018</v>
      </c>
      <c r="J42" s="871"/>
      <c r="K42" s="871"/>
      <c r="L42" s="871"/>
      <c r="M42" s="871">
        <v>0.3</v>
      </c>
      <c r="N42" s="871"/>
      <c r="O42" s="871"/>
      <c r="P42" s="871">
        <v>0.4</v>
      </c>
      <c r="Q42" s="871">
        <v>60</v>
      </c>
      <c r="R42" s="873">
        <f t="shared" si="8"/>
        <v>1.3559999999999999</v>
      </c>
      <c r="S42" s="871"/>
      <c r="T42" s="871"/>
      <c r="U42" s="873">
        <f t="shared" si="7"/>
        <v>2.056</v>
      </c>
      <c r="V42" s="873">
        <f t="shared" si="9"/>
        <v>0.54239999999999999</v>
      </c>
      <c r="W42" s="873">
        <f t="shared" si="10"/>
        <v>4.8583999999999996</v>
      </c>
      <c r="X42" s="1015">
        <f t="shared" si="1"/>
        <v>6753.1759999999995</v>
      </c>
      <c r="Y42" s="1012"/>
      <c r="Z42" s="914"/>
      <c r="AA42" s="913"/>
      <c r="AB42" s="913"/>
      <c r="AC42" s="913"/>
    </row>
    <row r="43" spans="1:29" ht="17.25" customHeight="1">
      <c r="A43" s="871">
        <v>28</v>
      </c>
      <c r="B43" s="871">
        <v>10</v>
      </c>
      <c r="C43" s="869" t="s">
        <v>529</v>
      </c>
      <c r="D43" s="871" t="s">
        <v>530</v>
      </c>
      <c r="E43" s="871" t="s">
        <v>38</v>
      </c>
      <c r="F43" s="874">
        <v>2.2599999999999998</v>
      </c>
      <c r="G43" s="1028">
        <v>1</v>
      </c>
      <c r="H43" s="1028">
        <v>4</v>
      </c>
      <c r="I43" s="1028">
        <v>2016</v>
      </c>
      <c r="J43" s="871"/>
      <c r="K43" s="871"/>
      <c r="L43" s="871"/>
      <c r="M43" s="871">
        <v>0.3</v>
      </c>
      <c r="N43" s="871"/>
      <c r="O43" s="871"/>
      <c r="P43" s="871"/>
      <c r="Q43" s="871">
        <v>50</v>
      </c>
      <c r="R43" s="873">
        <f t="shared" si="8"/>
        <v>1.1299999999999999</v>
      </c>
      <c r="S43" s="871"/>
      <c r="T43" s="871"/>
      <c r="U43" s="873">
        <f t="shared" si="7"/>
        <v>1.43</v>
      </c>
      <c r="V43" s="873">
        <f t="shared" si="9"/>
        <v>0.54239999999999999</v>
      </c>
      <c r="W43" s="873">
        <f t="shared" si="10"/>
        <v>4.2323999999999993</v>
      </c>
      <c r="X43" s="1015">
        <f t="shared" si="1"/>
        <v>5883.0359999999991</v>
      </c>
      <c r="Y43" s="1011"/>
      <c r="Z43" s="912"/>
    </row>
    <row r="44" spans="1:29" ht="17.25" customHeight="1">
      <c r="A44" s="871">
        <v>29</v>
      </c>
      <c r="B44" s="871">
        <v>11</v>
      </c>
      <c r="C44" s="869" t="s">
        <v>269</v>
      </c>
      <c r="D44" s="870">
        <v>32633</v>
      </c>
      <c r="E44" s="871" t="s">
        <v>38</v>
      </c>
      <c r="F44" s="880">
        <v>2.46</v>
      </c>
      <c r="G44" s="1028">
        <v>1</v>
      </c>
      <c r="H44" s="1028">
        <v>12</v>
      </c>
      <c r="I44" s="1028">
        <v>2015</v>
      </c>
      <c r="J44" s="871"/>
      <c r="K44" s="871"/>
      <c r="L44" s="871"/>
      <c r="M44" s="871">
        <v>0.3</v>
      </c>
      <c r="N44" s="871"/>
      <c r="O44" s="871"/>
      <c r="P44" s="871"/>
      <c r="Q44" s="871">
        <v>70</v>
      </c>
      <c r="R44" s="873">
        <f t="shared" si="8"/>
        <v>1.722</v>
      </c>
      <c r="S44" s="871"/>
      <c r="T44" s="871"/>
      <c r="U44" s="873">
        <f t="shared" si="7"/>
        <v>2.0219999999999998</v>
      </c>
      <c r="V44" s="873">
        <f t="shared" si="9"/>
        <v>0.59040000000000004</v>
      </c>
      <c r="W44" s="873">
        <f t="shared" si="10"/>
        <v>5.0723999999999991</v>
      </c>
      <c r="X44" s="1015">
        <f t="shared" si="1"/>
        <v>7050.6359999999986</v>
      </c>
      <c r="Y44" s="1012"/>
      <c r="Z44" s="914"/>
      <c r="AA44" s="913"/>
      <c r="AB44" s="913"/>
      <c r="AC44" s="913"/>
    </row>
    <row r="45" spans="1:29" ht="17.25" customHeight="1">
      <c r="A45" s="871">
        <v>30</v>
      </c>
      <c r="B45" s="871">
        <v>12</v>
      </c>
      <c r="C45" s="869" t="s">
        <v>531</v>
      </c>
      <c r="D45" s="870">
        <v>31390</v>
      </c>
      <c r="E45" s="871" t="s">
        <v>38</v>
      </c>
      <c r="F45" s="880">
        <v>2.86</v>
      </c>
      <c r="G45" s="1028">
        <v>1</v>
      </c>
      <c r="H45" s="1028">
        <v>10</v>
      </c>
      <c r="I45" s="1028">
        <v>2015</v>
      </c>
      <c r="J45" s="871"/>
      <c r="K45" s="871"/>
      <c r="L45" s="871"/>
      <c r="M45" s="871">
        <v>0.3</v>
      </c>
      <c r="N45" s="871"/>
      <c r="O45" s="871"/>
      <c r="P45" s="871"/>
      <c r="Q45" s="871">
        <v>50</v>
      </c>
      <c r="R45" s="873">
        <f t="shared" si="8"/>
        <v>1.43</v>
      </c>
      <c r="S45" s="872">
        <v>0.06</v>
      </c>
      <c r="T45" s="872"/>
      <c r="U45" s="873">
        <f t="shared" si="7"/>
        <v>1.79</v>
      </c>
      <c r="V45" s="873">
        <f t="shared" si="9"/>
        <v>0.70079999999999998</v>
      </c>
      <c r="W45" s="873">
        <f t="shared" si="10"/>
        <v>5.3508000000000004</v>
      </c>
      <c r="X45" s="1015">
        <f t="shared" si="1"/>
        <v>7437.612000000001</v>
      </c>
      <c r="Y45" s="1011"/>
      <c r="Z45" s="912"/>
    </row>
    <row r="46" spans="1:29" ht="17.25" customHeight="1">
      <c r="A46" s="871">
        <v>31</v>
      </c>
      <c r="B46" s="871">
        <v>13</v>
      </c>
      <c r="C46" s="869" t="s">
        <v>270</v>
      </c>
      <c r="D46" s="870">
        <v>32479</v>
      </c>
      <c r="E46" s="871" t="s">
        <v>38</v>
      </c>
      <c r="F46" s="872">
        <v>2.66</v>
      </c>
      <c r="G46" s="1028">
        <v>2</v>
      </c>
      <c r="H46" s="1028">
        <v>12</v>
      </c>
      <c r="I46" s="1028">
        <v>2018</v>
      </c>
      <c r="J46" s="871"/>
      <c r="K46" s="871"/>
      <c r="L46" s="871"/>
      <c r="M46" s="871">
        <v>0.3</v>
      </c>
      <c r="N46" s="871"/>
      <c r="O46" s="871"/>
      <c r="P46" s="871"/>
      <c r="Q46" s="871">
        <v>50</v>
      </c>
      <c r="R46" s="873">
        <f t="shared" si="8"/>
        <v>1.33</v>
      </c>
      <c r="S46" s="871"/>
      <c r="T46" s="871"/>
      <c r="U46" s="873">
        <f t="shared" si="7"/>
        <v>1.6300000000000001</v>
      </c>
      <c r="V46" s="873">
        <f t="shared" si="9"/>
        <v>0.63840000000000008</v>
      </c>
      <c r="W46" s="873">
        <f t="shared" si="10"/>
        <v>4.9283999999999999</v>
      </c>
      <c r="X46" s="1015">
        <f t="shared" si="1"/>
        <v>6850.4759999999997</v>
      </c>
      <c r="Y46" s="1011"/>
      <c r="Z46" s="912"/>
    </row>
    <row r="47" spans="1:29" s="13" customFormat="1" ht="17.25" customHeight="1">
      <c r="A47" s="871">
        <v>32</v>
      </c>
      <c r="B47" s="871">
        <v>14</v>
      </c>
      <c r="C47" s="869" t="s">
        <v>242</v>
      </c>
      <c r="D47" s="870">
        <v>35288</v>
      </c>
      <c r="E47" s="871" t="s">
        <v>165</v>
      </c>
      <c r="F47" s="872">
        <v>2.34</v>
      </c>
      <c r="G47" s="1028">
        <v>1</v>
      </c>
      <c r="H47" s="1028">
        <v>4</v>
      </c>
      <c r="I47" s="1028">
        <v>2019</v>
      </c>
      <c r="J47" s="871"/>
      <c r="K47" s="871"/>
      <c r="L47" s="871"/>
      <c r="M47" s="871">
        <v>0.3</v>
      </c>
      <c r="N47" s="871"/>
      <c r="O47" s="871"/>
      <c r="P47" s="871"/>
      <c r="Q47" s="871">
        <v>40</v>
      </c>
      <c r="R47" s="873">
        <f t="shared" si="8"/>
        <v>0.93599999999999994</v>
      </c>
      <c r="S47" s="871"/>
      <c r="T47" s="871"/>
      <c r="U47" s="873">
        <f t="shared" si="7"/>
        <v>1.236</v>
      </c>
      <c r="V47" s="873">
        <f t="shared" ref="V47" si="11">SUM(F47+K47+L47+S47)*24/100</f>
        <v>0.56159999999999999</v>
      </c>
      <c r="W47" s="873">
        <f t="shared" ref="W47" si="12">SUM(F47+U47+V47)</f>
        <v>4.1375999999999999</v>
      </c>
      <c r="X47" s="1015">
        <f t="shared" ref="X47" si="13">SUM(W47)*1390</f>
        <v>5751.2640000000001</v>
      </c>
      <c r="Y47" s="1011"/>
      <c r="Z47" s="912"/>
    </row>
    <row r="48" spans="1:29" ht="17.25" customHeight="1">
      <c r="A48" s="871">
        <v>33</v>
      </c>
      <c r="B48" s="871">
        <v>15</v>
      </c>
      <c r="C48" s="869" t="s">
        <v>532</v>
      </c>
      <c r="D48" s="870">
        <v>27308</v>
      </c>
      <c r="E48" s="871">
        <v>16130</v>
      </c>
      <c r="F48" s="880">
        <v>3.63</v>
      </c>
      <c r="G48" s="1028">
        <v>21</v>
      </c>
      <c r="H48" s="1028">
        <v>8</v>
      </c>
      <c r="I48" s="1028">
        <v>2015</v>
      </c>
      <c r="J48" s="871"/>
      <c r="K48" s="871"/>
      <c r="L48" s="871"/>
      <c r="M48" s="871">
        <v>0.3</v>
      </c>
      <c r="N48" s="871"/>
      <c r="O48" s="871"/>
      <c r="P48" s="871">
        <v>0.2</v>
      </c>
      <c r="Q48" s="871">
        <v>40</v>
      </c>
      <c r="R48" s="873">
        <f t="shared" si="8"/>
        <v>1.452</v>
      </c>
      <c r="S48" s="871"/>
      <c r="T48" s="871"/>
      <c r="U48" s="873">
        <f t="shared" si="7"/>
        <v>1.952</v>
      </c>
      <c r="V48" s="873">
        <f t="shared" si="9"/>
        <v>0.87120000000000009</v>
      </c>
      <c r="W48" s="873">
        <f t="shared" si="10"/>
        <v>6.4531999999999998</v>
      </c>
      <c r="X48" s="1015">
        <f t="shared" si="1"/>
        <v>8969.9480000000003</v>
      </c>
      <c r="Y48" s="1011"/>
      <c r="Z48" s="912"/>
    </row>
    <row r="49" spans="1:29" ht="17.25" customHeight="1">
      <c r="A49" s="871"/>
      <c r="B49" s="871"/>
      <c r="C49" s="1353" t="s">
        <v>533</v>
      </c>
      <c r="D49" s="1353"/>
      <c r="E49" s="871"/>
      <c r="F49" s="880"/>
      <c r="G49" s="1025"/>
      <c r="H49" s="1025"/>
      <c r="I49" s="1026"/>
      <c r="J49" s="871"/>
      <c r="K49" s="871"/>
      <c r="L49" s="871"/>
      <c r="M49" s="871"/>
      <c r="N49" s="871"/>
      <c r="O49" s="871"/>
      <c r="P49" s="871"/>
      <c r="Q49" s="871"/>
      <c r="R49" s="873"/>
      <c r="S49" s="871"/>
      <c r="T49" s="871"/>
      <c r="U49" s="873"/>
      <c r="V49" s="873"/>
      <c r="W49" s="873"/>
      <c r="X49" s="1015"/>
      <c r="Y49" s="1011"/>
      <c r="Z49" s="912"/>
    </row>
    <row r="50" spans="1:29" ht="17.25" customHeight="1">
      <c r="A50" s="871">
        <v>34</v>
      </c>
      <c r="B50" s="871">
        <v>1</v>
      </c>
      <c r="C50" s="869" t="s">
        <v>534</v>
      </c>
      <c r="D50" s="871" t="s">
        <v>535</v>
      </c>
      <c r="E50" s="871" t="s">
        <v>31</v>
      </c>
      <c r="F50" s="880">
        <v>4.32</v>
      </c>
      <c r="G50" s="1028">
        <v>1</v>
      </c>
      <c r="H50" s="1028">
        <v>12</v>
      </c>
      <c r="I50" s="1028">
        <v>2014</v>
      </c>
      <c r="J50" s="871"/>
      <c r="K50" s="871"/>
      <c r="L50" s="871">
        <v>0.4</v>
      </c>
      <c r="M50" s="871">
        <v>0.3</v>
      </c>
      <c r="N50" s="871">
        <v>0.3</v>
      </c>
      <c r="O50" s="871"/>
      <c r="P50" s="871">
        <v>0.4</v>
      </c>
      <c r="Q50" s="871">
        <v>70</v>
      </c>
      <c r="R50" s="873">
        <f t="shared" ref="R50:R63" si="14">SUM(F50+K50+L50)*Q50%</f>
        <v>3.3040000000000003</v>
      </c>
      <c r="S50" s="871"/>
      <c r="T50" s="871"/>
      <c r="U50" s="873">
        <f t="shared" ref="U50:U69" si="15">SUM(K50+L50+M50+N50+O50+P50+R50+S50+T50)</f>
        <v>4.7040000000000006</v>
      </c>
      <c r="V50" s="873">
        <f t="shared" si="9"/>
        <v>1.1328000000000003</v>
      </c>
      <c r="W50" s="873">
        <f t="shared" ref="W50:W63" si="16">SUM(F50+U50+V50)</f>
        <v>10.1568</v>
      </c>
      <c r="X50" s="1015">
        <f t="shared" si="1"/>
        <v>14117.952000000001</v>
      </c>
      <c r="Y50" s="1011"/>
      <c r="Z50" s="912"/>
    </row>
    <row r="51" spans="1:29" ht="17.25" customHeight="1">
      <c r="A51" s="871">
        <v>35</v>
      </c>
      <c r="B51" s="871">
        <v>2</v>
      </c>
      <c r="C51" s="869" t="s">
        <v>390</v>
      </c>
      <c r="D51" s="871" t="s">
        <v>536</v>
      </c>
      <c r="E51" s="871" t="s">
        <v>31</v>
      </c>
      <c r="F51" s="874">
        <v>2.67</v>
      </c>
      <c r="G51" s="1028">
        <v>1</v>
      </c>
      <c r="H51" s="1028">
        <v>5</v>
      </c>
      <c r="I51" s="1028">
        <v>2018</v>
      </c>
      <c r="J51" s="871"/>
      <c r="K51" s="871"/>
      <c r="L51" s="871">
        <v>0.3</v>
      </c>
      <c r="M51" s="871">
        <v>0.3</v>
      </c>
      <c r="N51" s="871"/>
      <c r="O51" s="871"/>
      <c r="P51" s="871">
        <v>0.2</v>
      </c>
      <c r="Q51" s="871">
        <v>50</v>
      </c>
      <c r="R51" s="873">
        <f t="shared" si="14"/>
        <v>1.4849999999999999</v>
      </c>
      <c r="S51" s="871"/>
      <c r="T51" s="871"/>
      <c r="U51" s="873">
        <f t="shared" si="15"/>
        <v>2.2850000000000001</v>
      </c>
      <c r="V51" s="873">
        <f t="shared" si="9"/>
        <v>0.71279999999999999</v>
      </c>
      <c r="W51" s="873">
        <f t="shared" si="16"/>
        <v>5.6677999999999997</v>
      </c>
      <c r="X51" s="1015">
        <f t="shared" si="1"/>
        <v>7878.2419999999993</v>
      </c>
      <c r="Y51" s="1011"/>
      <c r="Z51" s="912"/>
      <c r="AA51" s="911"/>
      <c r="AB51" s="911"/>
      <c r="AC51" s="911"/>
    </row>
    <row r="52" spans="1:29" ht="17.25" customHeight="1">
      <c r="A52" s="871">
        <v>36</v>
      </c>
      <c r="B52" s="871">
        <v>3</v>
      </c>
      <c r="C52" s="869" t="s">
        <v>537</v>
      </c>
      <c r="D52" s="870">
        <v>30839</v>
      </c>
      <c r="E52" s="871" t="s">
        <v>38</v>
      </c>
      <c r="F52" s="872">
        <v>2.86</v>
      </c>
      <c r="G52" s="1028">
        <v>1</v>
      </c>
      <c r="H52" s="1028">
        <v>11</v>
      </c>
      <c r="I52" s="1028">
        <v>2018</v>
      </c>
      <c r="J52" s="871"/>
      <c r="K52" s="871"/>
      <c r="L52" s="871"/>
      <c r="M52" s="871">
        <v>0.3</v>
      </c>
      <c r="N52" s="871"/>
      <c r="O52" s="871"/>
      <c r="P52" s="878">
        <v>0.2</v>
      </c>
      <c r="Q52" s="871">
        <v>50</v>
      </c>
      <c r="R52" s="873">
        <f t="shared" si="14"/>
        <v>1.43</v>
      </c>
      <c r="S52" s="871"/>
      <c r="T52" s="871"/>
      <c r="U52" s="873">
        <f t="shared" si="15"/>
        <v>1.93</v>
      </c>
      <c r="V52" s="873">
        <f t="shared" si="9"/>
        <v>0.68640000000000001</v>
      </c>
      <c r="W52" s="873">
        <f t="shared" si="16"/>
        <v>5.4763999999999999</v>
      </c>
      <c r="X52" s="1015">
        <f t="shared" si="1"/>
        <v>7612.1959999999999</v>
      </c>
      <c r="Y52" s="1011"/>
      <c r="Z52" s="915"/>
    </row>
    <row r="53" spans="1:29" ht="17.25" customHeight="1">
      <c r="A53" s="871">
        <v>37</v>
      </c>
      <c r="B53" s="871">
        <v>4</v>
      </c>
      <c r="C53" s="869" t="s">
        <v>272</v>
      </c>
      <c r="D53" s="871" t="s">
        <v>273</v>
      </c>
      <c r="E53" s="871" t="s">
        <v>29</v>
      </c>
      <c r="F53" s="872">
        <v>2.67</v>
      </c>
      <c r="G53" s="1028">
        <v>1</v>
      </c>
      <c r="H53" s="1028">
        <v>11</v>
      </c>
      <c r="I53" s="1028">
        <v>2014</v>
      </c>
      <c r="J53" s="871"/>
      <c r="K53" s="871"/>
      <c r="L53" s="871"/>
      <c r="M53" s="871">
        <v>0.3</v>
      </c>
      <c r="N53" s="871"/>
      <c r="O53" s="871"/>
      <c r="P53" s="871"/>
      <c r="Q53" s="871">
        <v>40</v>
      </c>
      <c r="R53" s="873">
        <f t="shared" si="14"/>
        <v>1.0680000000000001</v>
      </c>
      <c r="S53" s="871"/>
      <c r="T53" s="871"/>
      <c r="U53" s="873">
        <f t="shared" si="15"/>
        <v>1.3680000000000001</v>
      </c>
      <c r="V53" s="873">
        <f t="shared" si="9"/>
        <v>0.64080000000000004</v>
      </c>
      <c r="W53" s="873">
        <f t="shared" si="16"/>
        <v>4.6788000000000007</v>
      </c>
      <c r="X53" s="1015">
        <f t="shared" si="1"/>
        <v>6503.5320000000011</v>
      </c>
      <c r="Y53" s="1011"/>
      <c r="Z53" s="912"/>
    </row>
    <row r="54" spans="1:29" ht="17.25" customHeight="1">
      <c r="A54" s="871">
        <v>38</v>
      </c>
      <c r="B54" s="871">
        <v>5</v>
      </c>
      <c r="C54" s="869" t="s">
        <v>333</v>
      </c>
      <c r="D54" s="871" t="s">
        <v>334</v>
      </c>
      <c r="E54" s="871" t="s">
        <v>29</v>
      </c>
      <c r="F54" s="872">
        <v>2.46</v>
      </c>
      <c r="G54" s="1028">
        <v>1</v>
      </c>
      <c r="H54" s="1028">
        <v>12</v>
      </c>
      <c r="I54" s="1028">
        <v>2015</v>
      </c>
      <c r="J54" s="871"/>
      <c r="K54" s="871"/>
      <c r="L54" s="871"/>
      <c r="M54" s="871">
        <v>0.3</v>
      </c>
      <c r="N54" s="871"/>
      <c r="O54" s="871"/>
      <c r="P54" s="871"/>
      <c r="Q54" s="871">
        <v>40</v>
      </c>
      <c r="R54" s="873">
        <f t="shared" si="14"/>
        <v>0.98399999999999999</v>
      </c>
      <c r="S54" s="871"/>
      <c r="T54" s="871"/>
      <c r="U54" s="873">
        <f t="shared" si="15"/>
        <v>1.284</v>
      </c>
      <c r="V54" s="873">
        <f t="shared" si="9"/>
        <v>0.59040000000000004</v>
      </c>
      <c r="W54" s="873">
        <f t="shared" si="16"/>
        <v>4.3343999999999996</v>
      </c>
      <c r="X54" s="1015">
        <f t="shared" si="1"/>
        <v>6024.8159999999998</v>
      </c>
      <c r="Y54" s="1011"/>
      <c r="Z54" s="912"/>
    </row>
    <row r="55" spans="1:29" ht="17.25" customHeight="1">
      <c r="A55" s="871">
        <v>39</v>
      </c>
      <c r="B55" s="871">
        <v>6</v>
      </c>
      <c r="C55" s="869" t="s">
        <v>538</v>
      </c>
      <c r="D55" s="870">
        <v>23867</v>
      </c>
      <c r="E55" s="871" t="s">
        <v>38</v>
      </c>
      <c r="F55" s="872">
        <v>4.0599999999999996</v>
      </c>
      <c r="G55" s="1028">
        <v>1</v>
      </c>
      <c r="H55" s="1028">
        <v>12</v>
      </c>
      <c r="I55" s="1028">
        <v>2018</v>
      </c>
      <c r="J55" s="871">
        <v>9</v>
      </c>
      <c r="K55" s="871">
        <f t="shared" si="6"/>
        <v>0.36539999999999995</v>
      </c>
      <c r="L55" s="871"/>
      <c r="M55" s="871">
        <v>0.3</v>
      </c>
      <c r="N55" s="871"/>
      <c r="O55" s="871"/>
      <c r="P55" s="871">
        <v>0.2</v>
      </c>
      <c r="Q55" s="871">
        <v>50</v>
      </c>
      <c r="R55" s="873">
        <f t="shared" si="14"/>
        <v>2.2126999999999999</v>
      </c>
      <c r="S55" s="871"/>
      <c r="T55" s="871"/>
      <c r="U55" s="873">
        <f t="shared" si="15"/>
        <v>3.0781000000000001</v>
      </c>
      <c r="V55" s="873">
        <f t="shared" si="9"/>
        <v>1.0620959999999999</v>
      </c>
      <c r="W55" s="873">
        <f t="shared" si="16"/>
        <v>8.200196</v>
      </c>
      <c r="X55" s="1015">
        <f t="shared" si="1"/>
        <v>11398.272440000001</v>
      </c>
      <c r="Y55" s="1011"/>
      <c r="Z55" s="912"/>
    </row>
    <row r="56" spans="1:29" ht="17.25" customHeight="1">
      <c r="A56" s="871">
        <v>40</v>
      </c>
      <c r="B56" s="871">
        <v>7</v>
      </c>
      <c r="C56" s="869" t="s">
        <v>326</v>
      </c>
      <c r="D56" s="870">
        <v>32364</v>
      </c>
      <c r="E56" s="871" t="s">
        <v>29</v>
      </c>
      <c r="F56" s="874">
        <v>2.46</v>
      </c>
      <c r="G56" s="1028">
        <v>13</v>
      </c>
      <c r="H56" s="1028">
        <v>4</v>
      </c>
      <c r="I56" s="1028">
        <v>2016</v>
      </c>
      <c r="J56" s="871"/>
      <c r="K56" s="871"/>
      <c r="L56" s="871"/>
      <c r="M56" s="871">
        <v>0.3</v>
      </c>
      <c r="N56" s="871"/>
      <c r="O56" s="871"/>
      <c r="P56" s="871"/>
      <c r="Q56" s="871">
        <v>40</v>
      </c>
      <c r="R56" s="873">
        <f t="shared" si="14"/>
        <v>0.98399999999999999</v>
      </c>
      <c r="S56" s="871"/>
      <c r="T56" s="871"/>
      <c r="U56" s="873">
        <f t="shared" si="15"/>
        <v>1.284</v>
      </c>
      <c r="V56" s="873">
        <f t="shared" si="9"/>
        <v>0.59040000000000004</v>
      </c>
      <c r="W56" s="873">
        <f t="shared" si="16"/>
        <v>4.3343999999999996</v>
      </c>
      <c r="X56" s="1015">
        <f t="shared" si="1"/>
        <v>6024.8159999999998</v>
      </c>
      <c r="Y56" s="1011"/>
      <c r="Z56" s="912"/>
    </row>
    <row r="57" spans="1:29" ht="17.25" customHeight="1">
      <c r="A57" s="871">
        <v>41</v>
      </c>
      <c r="B57" s="871">
        <v>8</v>
      </c>
      <c r="C57" s="869" t="s">
        <v>274</v>
      </c>
      <c r="D57" s="871" t="s">
        <v>275</v>
      </c>
      <c r="E57" s="871" t="s">
        <v>29</v>
      </c>
      <c r="F57" s="874">
        <v>3.46</v>
      </c>
      <c r="G57" s="1028">
        <v>15</v>
      </c>
      <c r="H57" s="1028">
        <v>4</v>
      </c>
      <c r="I57" s="1028">
        <v>2018</v>
      </c>
      <c r="J57" s="871"/>
      <c r="K57" s="871"/>
      <c r="L57" s="871"/>
      <c r="M57" s="871">
        <v>0.3</v>
      </c>
      <c r="N57" s="871"/>
      <c r="O57" s="871"/>
      <c r="P57" s="871">
        <v>0.2</v>
      </c>
      <c r="Q57" s="871">
        <v>50</v>
      </c>
      <c r="R57" s="873">
        <f t="shared" si="14"/>
        <v>1.73</v>
      </c>
      <c r="S57" s="871"/>
      <c r="T57" s="871"/>
      <c r="U57" s="873">
        <f t="shared" si="15"/>
        <v>2.23</v>
      </c>
      <c r="V57" s="873">
        <f t="shared" si="9"/>
        <v>0.83039999999999992</v>
      </c>
      <c r="W57" s="873">
        <f t="shared" si="16"/>
        <v>6.5203999999999995</v>
      </c>
      <c r="X57" s="1015">
        <f t="shared" si="1"/>
        <v>9063.3559999999998</v>
      </c>
      <c r="Y57" s="1011"/>
      <c r="Z57" s="912"/>
    </row>
    <row r="58" spans="1:29" ht="17.25" customHeight="1">
      <c r="A58" s="871">
        <v>42</v>
      </c>
      <c r="B58" s="871">
        <v>9</v>
      </c>
      <c r="C58" s="869" t="s">
        <v>276</v>
      </c>
      <c r="D58" s="870">
        <v>32051</v>
      </c>
      <c r="E58" s="871" t="s">
        <v>38</v>
      </c>
      <c r="F58" s="880">
        <v>2.86</v>
      </c>
      <c r="G58" s="1028">
        <v>1</v>
      </c>
      <c r="H58" s="1028">
        <v>10</v>
      </c>
      <c r="I58" s="1028">
        <v>2015</v>
      </c>
      <c r="J58" s="871"/>
      <c r="K58" s="871"/>
      <c r="L58" s="871">
        <v>0.3</v>
      </c>
      <c r="M58" s="871">
        <v>0.3</v>
      </c>
      <c r="N58" s="871"/>
      <c r="O58" s="871"/>
      <c r="P58" s="871"/>
      <c r="Q58" s="871">
        <v>50</v>
      </c>
      <c r="R58" s="873">
        <f t="shared" si="14"/>
        <v>1.5799999999999998</v>
      </c>
      <c r="S58" s="872">
        <v>0.06</v>
      </c>
      <c r="T58" s="872"/>
      <c r="U58" s="873">
        <f t="shared" si="15"/>
        <v>2.2399999999999998</v>
      </c>
      <c r="V58" s="873">
        <f t="shared" si="9"/>
        <v>0.77280000000000004</v>
      </c>
      <c r="W58" s="873">
        <f t="shared" si="16"/>
        <v>5.8727999999999998</v>
      </c>
      <c r="X58" s="1015">
        <f t="shared" si="1"/>
        <v>8163.192</v>
      </c>
      <c r="Y58" s="1011"/>
      <c r="Z58" s="912"/>
    </row>
    <row r="59" spans="1:29" ht="17.25" customHeight="1">
      <c r="A59" s="871">
        <v>43</v>
      </c>
      <c r="B59" s="871">
        <v>10</v>
      </c>
      <c r="C59" s="881" t="s">
        <v>277</v>
      </c>
      <c r="D59" s="882" t="s">
        <v>278</v>
      </c>
      <c r="E59" s="882" t="s">
        <v>29</v>
      </c>
      <c r="F59" s="883">
        <v>4.0599999999999996</v>
      </c>
      <c r="G59" s="1028">
        <v>1</v>
      </c>
      <c r="H59" s="1028">
        <v>1</v>
      </c>
      <c r="I59" s="1028">
        <v>2016</v>
      </c>
      <c r="J59" s="884">
        <v>5</v>
      </c>
      <c r="K59" s="871">
        <f t="shared" si="6"/>
        <v>0.20299999999999999</v>
      </c>
      <c r="L59" s="884"/>
      <c r="M59" s="884">
        <v>0.3</v>
      </c>
      <c r="N59" s="884"/>
      <c r="O59" s="884"/>
      <c r="P59" s="884"/>
      <c r="Q59" s="884">
        <v>40</v>
      </c>
      <c r="R59" s="873">
        <f t="shared" si="14"/>
        <v>1.7052</v>
      </c>
      <c r="S59" s="882"/>
      <c r="T59" s="882"/>
      <c r="U59" s="873">
        <f t="shared" si="15"/>
        <v>2.2082000000000002</v>
      </c>
      <c r="V59" s="873">
        <f t="shared" si="9"/>
        <v>1.02312</v>
      </c>
      <c r="W59" s="873">
        <f t="shared" si="16"/>
        <v>7.2913200000000007</v>
      </c>
      <c r="X59" s="1015">
        <f t="shared" si="1"/>
        <v>10134.934800000001</v>
      </c>
      <c r="Y59" s="1011"/>
      <c r="Z59" s="912"/>
    </row>
    <row r="60" spans="1:29" ht="17.25" customHeight="1">
      <c r="A60" s="871">
        <v>44</v>
      </c>
      <c r="B60" s="871">
        <v>11</v>
      </c>
      <c r="C60" s="869" t="s">
        <v>166</v>
      </c>
      <c r="D60" s="871" t="s">
        <v>279</v>
      </c>
      <c r="E60" s="871" t="s">
        <v>29</v>
      </c>
      <c r="F60" s="872">
        <v>2.86</v>
      </c>
      <c r="G60" s="1028">
        <v>15</v>
      </c>
      <c r="H60" s="1028">
        <v>4</v>
      </c>
      <c r="I60" s="1028">
        <v>2015</v>
      </c>
      <c r="J60" s="871"/>
      <c r="K60" s="871"/>
      <c r="L60" s="871"/>
      <c r="M60" s="871">
        <v>0.3</v>
      </c>
      <c r="N60" s="871"/>
      <c r="O60" s="871"/>
      <c r="P60" s="871"/>
      <c r="Q60" s="871">
        <v>40</v>
      </c>
      <c r="R60" s="873">
        <f t="shared" si="14"/>
        <v>1.1439999999999999</v>
      </c>
      <c r="S60" s="871"/>
      <c r="T60" s="871"/>
      <c r="U60" s="873">
        <f t="shared" si="15"/>
        <v>1.444</v>
      </c>
      <c r="V60" s="873">
        <f t="shared" si="9"/>
        <v>0.68640000000000001</v>
      </c>
      <c r="W60" s="873">
        <f t="shared" si="16"/>
        <v>4.9904000000000002</v>
      </c>
      <c r="X60" s="1015">
        <f t="shared" si="1"/>
        <v>6936.6559999999999</v>
      </c>
      <c r="Y60" s="1011"/>
      <c r="Z60" s="912"/>
    </row>
    <row r="61" spans="1:29" ht="17.25" customHeight="1">
      <c r="A61" s="871">
        <v>45</v>
      </c>
      <c r="B61" s="871">
        <v>12</v>
      </c>
      <c r="C61" s="869" t="s">
        <v>83</v>
      </c>
      <c r="D61" s="871" t="s">
        <v>539</v>
      </c>
      <c r="E61" s="871">
        <v>16130</v>
      </c>
      <c r="F61" s="872">
        <v>3.63</v>
      </c>
      <c r="G61" s="1028">
        <v>1</v>
      </c>
      <c r="H61" s="1028">
        <v>12</v>
      </c>
      <c r="I61" s="1028">
        <v>2015</v>
      </c>
      <c r="J61" s="871"/>
      <c r="K61" s="871"/>
      <c r="L61" s="871"/>
      <c r="M61" s="871">
        <v>0.3</v>
      </c>
      <c r="N61" s="871"/>
      <c r="O61" s="871"/>
      <c r="P61" s="871">
        <v>0.2</v>
      </c>
      <c r="Q61" s="871">
        <v>40</v>
      </c>
      <c r="R61" s="873">
        <f t="shared" si="14"/>
        <v>1.452</v>
      </c>
      <c r="S61" s="871"/>
      <c r="T61" s="871"/>
      <c r="U61" s="873">
        <f t="shared" si="15"/>
        <v>1.952</v>
      </c>
      <c r="V61" s="873">
        <f t="shared" si="9"/>
        <v>0.87120000000000009</v>
      </c>
      <c r="W61" s="873">
        <f t="shared" si="16"/>
        <v>6.4531999999999998</v>
      </c>
      <c r="X61" s="1015">
        <f t="shared" si="1"/>
        <v>8969.9480000000003</v>
      </c>
      <c r="Y61" s="1011"/>
      <c r="Z61" s="912"/>
    </row>
    <row r="62" spans="1:29" ht="17.25" customHeight="1">
      <c r="A62" s="871">
        <v>46</v>
      </c>
      <c r="B62" s="871">
        <v>13</v>
      </c>
      <c r="C62" s="869" t="s">
        <v>396</v>
      </c>
      <c r="D62" s="870">
        <v>32180</v>
      </c>
      <c r="E62" s="871" t="s">
        <v>38</v>
      </c>
      <c r="F62" s="872">
        <v>2.46</v>
      </c>
      <c r="G62" s="1028">
        <v>1</v>
      </c>
      <c r="H62" s="1028">
        <v>12</v>
      </c>
      <c r="I62" s="1028">
        <v>2015</v>
      </c>
      <c r="J62" s="871"/>
      <c r="K62" s="871"/>
      <c r="L62" s="871"/>
      <c r="M62" s="871">
        <v>0.3</v>
      </c>
      <c r="N62" s="871"/>
      <c r="O62" s="871"/>
      <c r="P62" s="871"/>
      <c r="Q62" s="871">
        <v>40</v>
      </c>
      <c r="R62" s="873">
        <f t="shared" si="14"/>
        <v>0.98399999999999999</v>
      </c>
      <c r="S62" s="871"/>
      <c r="T62" s="871"/>
      <c r="U62" s="873">
        <f t="shared" si="15"/>
        <v>1.284</v>
      </c>
      <c r="V62" s="873">
        <f t="shared" si="9"/>
        <v>0.59040000000000004</v>
      </c>
      <c r="W62" s="873">
        <f t="shared" si="16"/>
        <v>4.3343999999999996</v>
      </c>
      <c r="X62" s="1015">
        <f t="shared" si="1"/>
        <v>6024.8159999999998</v>
      </c>
      <c r="Y62" s="1011"/>
      <c r="Z62" s="912"/>
    </row>
    <row r="63" spans="1:29" ht="17.25" customHeight="1">
      <c r="A63" s="871">
        <v>47</v>
      </c>
      <c r="B63" s="871">
        <v>14</v>
      </c>
      <c r="C63" s="869" t="s">
        <v>283</v>
      </c>
      <c r="D63" s="870">
        <v>30380</v>
      </c>
      <c r="E63" s="871" t="s">
        <v>31</v>
      </c>
      <c r="F63" s="874">
        <v>3</v>
      </c>
      <c r="G63" s="1028">
        <v>1</v>
      </c>
      <c r="H63" s="1028">
        <v>6</v>
      </c>
      <c r="I63" s="1028">
        <v>2018</v>
      </c>
      <c r="J63" s="871"/>
      <c r="K63" s="871"/>
      <c r="L63" s="871">
        <v>0.4</v>
      </c>
      <c r="M63" s="871">
        <v>0.3</v>
      </c>
      <c r="N63" s="871"/>
      <c r="O63" s="871"/>
      <c r="P63" s="871"/>
      <c r="Q63" s="871">
        <v>40</v>
      </c>
      <c r="R63" s="873">
        <f t="shared" si="14"/>
        <v>1.36</v>
      </c>
      <c r="S63" s="871"/>
      <c r="T63" s="879"/>
      <c r="U63" s="873">
        <f t="shared" si="15"/>
        <v>2.06</v>
      </c>
      <c r="V63" s="873">
        <f t="shared" si="9"/>
        <v>0.81599999999999995</v>
      </c>
      <c r="W63" s="873">
        <f t="shared" si="16"/>
        <v>5.8760000000000003</v>
      </c>
      <c r="X63" s="1015">
        <f t="shared" si="1"/>
        <v>8167.64</v>
      </c>
      <c r="Y63" s="1011"/>
      <c r="Z63" s="912"/>
    </row>
    <row r="64" spans="1:29" ht="17.25" customHeight="1">
      <c r="A64" s="871">
        <v>48</v>
      </c>
      <c r="B64" s="871">
        <v>15</v>
      </c>
      <c r="C64" s="869" t="s">
        <v>284</v>
      </c>
      <c r="D64" s="871" t="s">
        <v>540</v>
      </c>
      <c r="E64" s="871" t="s">
        <v>36</v>
      </c>
      <c r="F64" s="872">
        <v>4.0599999999999996</v>
      </c>
      <c r="G64" s="1028">
        <v>1</v>
      </c>
      <c r="H64" s="1028">
        <v>12</v>
      </c>
      <c r="I64" s="1028">
        <v>2018</v>
      </c>
      <c r="J64" s="871">
        <v>11</v>
      </c>
      <c r="K64" s="871">
        <f>J64%*F64</f>
        <v>0.44659999999999994</v>
      </c>
      <c r="L64" s="871">
        <v>0</v>
      </c>
      <c r="M64" s="871">
        <v>0.3</v>
      </c>
      <c r="N64" s="878">
        <v>0.1</v>
      </c>
      <c r="O64" s="871">
        <v>0</v>
      </c>
      <c r="P64" s="871">
        <v>0</v>
      </c>
      <c r="Q64" s="871">
        <v>40</v>
      </c>
      <c r="R64" s="873">
        <f t="shared" ref="R64" si="17">SUM(F64+K64+L64)*Q64%</f>
        <v>1.80264</v>
      </c>
      <c r="S64" s="871"/>
      <c r="T64" s="879"/>
      <c r="U64" s="873">
        <f t="shared" ref="U64" si="18">SUM(K64+L64+M64+N64+O64+P64+R64+S64+T64)</f>
        <v>2.6492399999999998</v>
      </c>
      <c r="V64" s="873">
        <f t="shared" ref="V64" si="19">SUM(F64+K64+L64+S64)*24/100</f>
        <v>1.0815840000000001</v>
      </c>
      <c r="W64" s="873">
        <f t="shared" ref="W64" si="20">SUM(F64+U64+V64)</f>
        <v>7.7908239999999997</v>
      </c>
      <c r="X64" s="1015">
        <f t="shared" ref="X64" si="21">SUM(W64)*1390</f>
        <v>10829.245359999999</v>
      </c>
      <c r="Y64" s="1011"/>
      <c r="Z64" s="912"/>
    </row>
    <row r="65" spans="1:26" ht="17.25" customHeight="1">
      <c r="A65" s="871">
        <v>49</v>
      </c>
      <c r="B65" s="871">
        <v>16</v>
      </c>
      <c r="C65" s="869" t="s">
        <v>285</v>
      </c>
      <c r="D65" s="870">
        <v>25123</v>
      </c>
      <c r="E65" s="871" t="s">
        <v>36</v>
      </c>
      <c r="F65" s="872">
        <v>4.0599999999999996</v>
      </c>
      <c r="G65" s="1028">
        <v>1</v>
      </c>
      <c r="H65" s="1028">
        <v>7</v>
      </c>
      <c r="I65" s="1028">
        <v>2018</v>
      </c>
      <c r="J65" s="871">
        <v>8</v>
      </c>
      <c r="K65" s="871">
        <f>SUM(F64*J65%)</f>
        <v>0.32479999999999998</v>
      </c>
      <c r="L65" s="871"/>
      <c r="M65" s="871">
        <v>0.3</v>
      </c>
      <c r="N65" s="871">
        <v>0.1</v>
      </c>
      <c r="O65" s="871"/>
      <c r="P65" s="871"/>
      <c r="Q65" s="871">
        <v>40</v>
      </c>
      <c r="R65" s="873">
        <f>SUM(F64+K65+L65)*Q65%</f>
        <v>1.7539199999999999</v>
      </c>
      <c r="S65" s="871"/>
      <c r="T65" s="871"/>
      <c r="U65" s="873">
        <f t="shared" si="15"/>
        <v>2.47872</v>
      </c>
      <c r="V65" s="873">
        <f>SUM(F64+K65+L65+S65)*24/100</f>
        <v>1.052352</v>
      </c>
      <c r="W65" s="873">
        <f>SUM(F64+U65+V65)</f>
        <v>7.5910719999999996</v>
      </c>
      <c r="X65" s="1015">
        <f t="shared" si="1"/>
        <v>10551.59008</v>
      </c>
      <c r="Y65" s="1011"/>
      <c r="Z65" s="912"/>
    </row>
    <row r="66" spans="1:26" ht="17.25" customHeight="1">
      <c r="A66" s="871">
        <v>50</v>
      </c>
      <c r="B66" s="871">
        <v>17</v>
      </c>
      <c r="C66" s="869" t="s">
        <v>286</v>
      </c>
      <c r="D66" s="871" t="s">
        <v>287</v>
      </c>
      <c r="E66" s="871" t="s">
        <v>36</v>
      </c>
      <c r="F66" s="874">
        <v>2.46</v>
      </c>
      <c r="G66" s="1028">
        <v>1</v>
      </c>
      <c r="H66" s="1028">
        <v>4</v>
      </c>
      <c r="I66" s="1028">
        <v>2016</v>
      </c>
      <c r="J66" s="871"/>
      <c r="K66" s="871"/>
      <c r="L66" s="871"/>
      <c r="M66" s="871">
        <v>0.3</v>
      </c>
      <c r="N66" s="871">
        <v>0.1</v>
      </c>
      <c r="O66" s="871"/>
      <c r="P66" s="871"/>
      <c r="Q66" s="871">
        <v>40</v>
      </c>
      <c r="R66" s="873">
        <f>SUM(F66+K66+L66)*Q66%</f>
        <v>0.98399999999999999</v>
      </c>
      <c r="S66" s="871"/>
      <c r="T66" s="871"/>
      <c r="U66" s="873">
        <f t="shared" si="15"/>
        <v>1.3839999999999999</v>
      </c>
      <c r="V66" s="873">
        <f t="shared" ref="V66:V99" si="22">SUM(F66+K66+L66+S66)*24/100</f>
        <v>0.59040000000000004</v>
      </c>
      <c r="W66" s="873">
        <f>SUM(F66+U66+V66)</f>
        <v>4.4344000000000001</v>
      </c>
      <c r="X66" s="1015">
        <f t="shared" si="1"/>
        <v>6163.8159999999998</v>
      </c>
      <c r="Y66" s="1011"/>
      <c r="Z66" s="912"/>
    </row>
    <row r="67" spans="1:26" ht="17.25" customHeight="1">
      <c r="A67" s="871">
        <v>51</v>
      </c>
      <c r="B67" s="871">
        <v>18</v>
      </c>
      <c r="C67" s="869" t="s">
        <v>167</v>
      </c>
      <c r="D67" s="871" t="s">
        <v>288</v>
      </c>
      <c r="E67" s="871" t="s">
        <v>36</v>
      </c>
      <c r="F67" s="872">
        <v>2.86</v>
      </c>
      <c r="G67" s="1028">
        <v>15</v>
      </c>
      <c r="H67" s="1028">
        <v>4</v>
      </c>
      <c r="I67" s="1028">
        <v>2015</v>
      </c>
      <c r="J67" s="871"/>
      <c r="K67" s="871"/>
      <c r="L67" s="871"/>
      <c r="M67" s="871">
        <v>0.3</v>
      </c>
      <c r="N67" s="871">
        <v>0.1</v>
      </c>
      <c r="O67" s="871"/>
      <c r="P67" s="871"/>
      <c r="Q67" s="871">
        <v>40</v>
      </c>
      <c r="R67" s="873">
        <f>SUM(F67+K67+L67)*Q67%</f>
        <v>1.1439999999999999</v>
      </c>
      <c r="S67" s="871"/>
      <c r="T67" s="871"/>
      <c r="U67" s="873">
        <f t="shared" si="15"/>
        <v>1.544</v>
      </c>
      <c r="V67" s="873">
        <f t="shared" si="22"/>
        <v>0.68640000000000001</v>
      </c>
      <c r="W67" s="873">
        <f>SUM(F67+U67+V67)</f>
        <v>5.0903999999999998</v>
      </c>
      <c r="X67" s="1015">
        <f t="shared" si="1"/>
        <v>7075.6559999999999</v>
      </c>
      <c r="Y67" s="1011"/>
      <c r="Z67" s="912"/>
    </row>
    <row r="68" spans="1:26" s="13" customFormat="1" ht="17.25" customHeight="1">
      <c r="A68" s="871">
        <v>52</v>
      </c>
      <c r="B68" s="871">
        <v>19</v>
      </c>
      <c r="C68" s="869" t="s">
        <v>240</v>
      </c>
      <c r="D68" s="870">
        <v>33880</v>
      </c>
      <c r="E68" s="871" t="s">
        <v>31</v>
      </c>
      <c r="F68" s="872">
        <v>2.34</v>
      </c>
      <c r="G68" s="1028">
        <v>1</v>
      </c>
      <c r="H68" s="1028">
        <v>4</v>
      </c>
      <c r="I68" s="1028">
        <v>2019</v>
      </c>
      <c r="J68" s="871"/>
      <c r="K68" s="871"/>
      <c r="L68" s="871"/>
      <c r="M68" s="871">
        <v>0.3</v>
      </c>
      <c r="N68" s="871"/>
      <c r="O68" s="871"/>
      <c r="P68" s="871"/>
      <c r="Q68" s="871">
        <v>40</v>
      </c>
      <c r="R68" s="873">
        <f>SUM(F68+K68+L68)*Q68%</f>
        <v>0.93599999999999994</v>
      </c>
      <c r="S68" s="871"/>
      <c r="T68" s="871"/>
      <c r="U68" s="873">
        <f t="shared" ref="U68" si="23">SUM(K68+L68+M68+N68+O68+P68+R68+S68+T68)</f>
        <v>1.236</v>
      </c>
      <c r="V68" s="873">
        <f t="shared" ref="V68" si="24">SUM(F68+K68+L68+S68)*24/100</f>
        <v>0.56159999999999999</v>
      </c>
      <c r="W68" s="873">
        <f>SUM(F68+U68+V68)</f>
        <v>4.1375999999999999</v>
      </c>
      <c r="X68" s="1015">
        <f t="shared" ref="X68" si="25">SUM(W68)*1390</f>
        <v>5751.2640000000001</v>
      </c>
      <c r="Y68" s="1011"/>
      <c r="Z68" s="912"/>
    </row>
    <row r="69" spans="1:26" ht="17.25" customHeight="1">
      <c r="A69" s="871">
        <v>53</v>
      </c>
      <c r="B69" s="871">
        <v>20</v>
      </c>
      <c r="C69" s="869" t="s">
        <v>541</v>
      </c>
      <c r="D69" s="871" t="s">
        <v>542</v>
      </c>
      <c r="E69" s="871" t="s">
        <v>38</v>
      </c>
      <c r="F69" s="872">
        <v>4.0599999999999996</v>
      </c>
      <c r="G69" s="1028">
        <v>1</v>
      </c>
      <c r="H69" s="1028">
        <v>10</v>
      </c>
      <c r="I69" s="1028">
        <v>2015</v>
      </c>
      <c r="J69" s="871"/>
      <c r="K69" s="871"/>
      <c r="L69" s="871"/>
      <c r="M69" s="871">
        <v>0.3</v>
      </c>
      <c r="N69" s="871"/>
      <c r="O69" s="871"/>
      <c r="P69" s="871">
        <v>0.2</v>
      </c>
      <c r="Q69" s="871">
        <v>40</v>
      </c>
      <c r="R69" s="873">
        <f>SUM(F69+K69+L69)*Q69%</f>
        <v>1.6239999999999999</v>
      </c>
      <c r="S69" s="871"/>
      <c r="T69" s="871"/>
      <c r="U69" s="873">
        <f t="shared" si="15"/>
        <v>2.1239999999999997</v>
      </c>
      <c r="V69" s="873">
        <f t="shared" si="22"/>
        <v>0.97439999999999993</v>
      </c>
      <c r="W69" s="873">
        <f>SUM(F69+U69+V69)</f>
        <v>7.1583999999999994</v>
      </c>
      <c r="X69" s="1015">
        <f t="shared" si="1"/>
        <v>9950.1759999999995</v>
      </c>
    </row>
    <row r="70" spans="1:26" ht="17.25" customHeight="1">
      <c r="A70" s="871"/>
      <c r="B70" s="871"/>
      <c r="C70" s="1353" t="s">
        <v>543</v>
      </c>
      <c r="D70" s="1353"/>
      <c r="E70" s="871"/>
      <c r="F70" s="872"/>
      <c r="G70" s="1025"/>
      <c r="H70" s="1025"/>
      <c r="I70" s="1026"/>
      <c r="J70" s="871"/>
      <c r="K70" s="871"/>
      <c r="L70" s="871"/>
      <c r="M70" s="871"/>
      <c r="N70" s="871"/>
      <c r="O70" s="871"/>
      <c r="P70" s="871"/>
      <c r="Q70" s="871"/>
      <c r="R70" s="873"/>
      <c r="S70" s="871"/>
      <c r="T70" s="871"/>
      <c r="U70" s="873"/>
      <c r="V70" s="873"/>
      <c r="W70" s="873"/>
      <c r="X70" s="1015"/>
      <c r="Y70" s="13"/>
      <c r="Z70" s="13"/>
    </row>
    <row r="71" spans="1:26" ht="17.25" customHeight="1">
      <c r="A71" s="871">
        <v>54</v>
      </c>
      <c r="B71" s="871">
        <v>1</v>
      </c>
      <c r="C71" s="869" t="s">
        <v>544</v>
      </c>
      <c r="D71" s="871" t="s">
        <v>545</v>
      </c>
      <c r="E71" s="871" t="s">
        <v>31</v>
      </c>
      <c r="F71" s="872">
        <v>4.6500000000000004</v>
      </c>
      <c r="G71" s="1028">
        <v>1</v>
      </c>
      <c r="H71" s="1028">
        <v>10</v>
      </c>
      <c r="I71" s="1028">
        <v>2014</v>
      </c>
      <c r="J71" s="871"/>
      <c r="K71" s="871"/>
      <c r="L71" s="871">
        <v>0.4</v>
      </c>
      <c r="M71" s="871">
        <v>0.3</v>
      </c>
      <c r="N71" s="871"/>
      <c r="O71" s="871"/>
      <c r="P71" s="871"/>
      <c r="Q71" s="871">
        <v>40</v>
      </c>
      <c r="R71" s="873">
        <f t="shared" ref="R71:R80" si="26">SUM(F71+K71+L71)*Q71%</f>
        <v>2.0200000000000005</v>
      </c>
      <c r="S71" s="871"/>
      <c r="T71" s="871"/>
      <c r="U71" s="873">
        <f t="shared" ref="U71:U80" si="27">SUM(K71+L71+M71+N71+O71+P71+R71+S71+T71)</f>
        <v>2.7200000000000006</v>
      </c>
      <c r="V71" s="873">
        <f t="shared" si="22"/>
        <v>1.2120000000000002</v>
      </c>
      <c r="W71" s="873">
        <f t="shared" ref="W71:W80" si="28">SUM(F71+U71+V71)</f>
        <v>8.5820000000000007</v>
      </c>
      <c r="X71" s="1015">
        <f t="shared" si="1"/>
        <v>11928.980000000001</v>
      </c>
    </row>
    <row r="72" spans="1:26" ht="17.25" customHeight="1">
      <c r="A72" s="871">
        <v>55</v>
      </c>
      <c r="B72" s="871">
        <v>2</v>
      </c>
      <c r="C72" s="869" t="s">
        <v>207</v>
      </c>
      <c r="D72" s="870">
        <v>24752</v>
      </c>
      <c r="E72" s="871" t="s">
        <v>29</v>
      </c>
      <c r="F72" s="872">
        <v>4.0599999999999996</v>
      </c>
      <c r="G72" s="1028">
        <v>1</v>
      </c>
      <c r="H72" s="1028">
        <v>6</v>
      </c>
      <c r="I72" s="1028">
        <v>2018</v>
      </c>
      <c r="J72" s="875">
        <v>9</v>
      </c>
      <c r="K72" s="871">
        <f t="shared" si="6"/>
        <v>0.36539999999999995</v>
      </c>
      <c r="L72" s="871">
        <v>0.3</v>
      </c>
      <c r="M72" s="871">
        <v>0.3</v>
      </c>
      <c r="N72" s="871"/>
      <c r="O72" s="871"/>
      <c r="P72" s="871"/>
      <c r="Q72" s="871">
        <v>40</v>
      </c>
      <c r="R72" s="873">
        <f t="shared" si="26"/>
        <v>1.8901599999999998</v>
      </c>
      <c r="S72" s="871"/>
      <c r="T72" s="871"/>
      <c r="U72" s="873">
        <f t="shared" si="27"/>
        <v>2.8555599999999997</v>
      </c>
      <c r="V72" s="873">
        <f t="shared" si="22"/>
        <v>1.1340959999999998</v>
      </c>
      <c r="W72" s="873">
        <f t="shared" si="28"/>
        <v>8.0496559999999988</v>
      </c>
      <c r="X72" s="1015">
        <f t="shared" si="1"/>
        <v>11189.021839999998</v>
      </c>
    </row>
    <row r="73" spans="1:26" ht="17.25" customHeight="1">
      <c r="A73" s="871">
        <v>56</v>
      </c>
      <c r="B73" s="871">
        <v>3</v>
      </c>
      <c r="C73" s="766" t="s">
        <v>168</v>
      </c>
      <c r="D73" s="875" t="s">
        <v>546</v>
      </c>
      <c r="E73" s="875" t="s">
        <v>31</v>
      </c>
      <c r="F73" s="874">
        <v>4.32</v>
      </c>
      <c r="G73" s="1028">
        <v>1</v>
      </c>
      <c r="H73" s="1028">
        <v>11</v>
      </c>
      <c r="I73" s="1028">
        <v>2013</v>
      </c>
      <c r="J73" s="875"/>
      <c r="K73" s="875"/>
      <c r="L73" s="875"/>
      <c r="M73" s="875">
        <v>0.3</v>
      </c>
      <c r="N73" s="875"/>
      <c r="O73" s="875"/>
      <c r="P73" s="875"/>
      <c r="Q73" s="875">
        <v>40</v>
      </c>
      <c r="R73" s="877">
        <f t="shared" si="26"/>
        <v>1.7280000000000002</v>
      </c>
      <c r="S73" s="875"/>
      <c r="T73" s="875"/>
      <c r="U73" s="877">
        <f t="shared" si="27"/>
        <v>2.028</v>
      </c>
      <c r="V73" s="873">
        <f t="shared" si="22"/>
        <v>1.0368000000000002</v>
      </c>
      <c r="W73" s="877">
        <f t="shared" si="28"/>
        <v>7.3848000000000011</v>
      </c>
      <c r="X73" s="1016">
        <f t="shared" si="1"/>
        <v>10264.872000000001</v>
      </c>
    </row>
    <row r="74" spans="1:26" ht="17.25" customHeight="1">
      <c r="A74" s="871">
        <v>57</v>
      </c>
      <c r="B74" s="871">
        <v>4</v>
      </c>
      <c r="C74" s="869" t="s">
        <v>547</v>
      </c>
      <c r="D74" s="870">
        <v>30873</v>
      </c>
      <c r="E74" s="871" t="s">
        <v>29</v>
      </c>
      <c r="F74" s="872">
        <v>2.67</v>
      </c>
      <c r="G74" s="1028">
        <v>7</v>
      </c>
      <c r="H74" s="1028">
        <v>10</v>
      </c>
      <c r="I74" s="1028">
        <v>2015</v>
      </c>
      <c r="J74" s="871"/>
      <c r="K74" s="871"/>
      <c r="L74" s="871"/>
      <c r="M74" s="871">
        <v>0.3</v>
      </c>
      <c r="N74" s="871"/>
      <c r="O74" s="871"/>
      <c r="P74" s="871"/>
      <c r="Q74" s="871">
        <v>40</v>
      </c>
      <c r="R74" s="873">
        <f t="shared" si="26"/>
        <v>1.0680000000000001</v>
      </c>
      <c r="S74" s="871"/>
      <c r="T74" s="871"/>
      <c r="U74" s="873">
        <f t="shared" si="27"/>
        <v>1.3680000000000001</v>
      </c>
      <c r="V74" s="873">
        <f t="shared" si="22"/>
        <v>0.64080000000000004</v>
      </c>
      <c r="W74" s="873">
        <f t="shared" si="28"/>
        <v>4.6788000000000007</v>
      </c>
      <c r="X74" s="1015">
        <f t="shared" si="1"/>
        <v>6503.5320000000011</v>
      </c>
    </row>
    <row r="75" spans="1:26" ht="17.25" customHeight="1">
      <c r="A75" s="871">
        <v>58</v>
      </c>
      <c r="B75" s="871">
        <v>5</v>
      </c>
      <c r="C75" s="869" t="s">
        <v>548</v>
      </c>
      <c r="D75" s="871" t="s">
        <v>549</v>
      </c>
      <c r="E75" s="871" t="s">
        <v>29</v>
      </c>
      <c r="F75" s="874">
        <v>3.26</v>
      </c>
      <c r="G75" s="1028">
        <v>1</v>
      </c>
      <c r="H75" s="1028">
        <v>3</v>
      </c>
      <c r="I75" s="1028">
        <v>2016</v>
      </c>
      <c r="J75" s="871"/>
      <c r="K75" s="871"/>
      <c r="L75" s="871">
        <v>0.3</v>
      </c>
      <c r="M75" s="871">
        <v>0.3</v>
      </c>
      <c r="N75" s="871"/>
      <c r="O75" s="871"/>
      <c r="P75" s="871"/>
      <c r="Q75" s="871">
        <v>40</v>
      </c>
      <c r="R75" s="873">
        <f t="shared" si="26"/>
        <v>1.4239999999999999</v>
      </c>
      <c r="S75" s="871"/>
      <c r="T75" s="871"/>
      <c r="U75" s="873">
        <f t="shared" si="27"/>
        <v>2.024</v>
      </c>
      <c r="V75" s="873">
        <f t="shared" si="22"/>
        <v>0.85439999999999994</v>
      </c>
      <c r="W75" s="873">
        <f t="shared" si="28"/>
        <v>6.1383999999999999</v>
      </c>
      <c r="X75" s="1015">
        <f t="shared" si="1"/>
        <v>8532.3760000000002</v>
      </c>
    </row>
    <row r="76" spans="1:26" ht="17.25" customHeight="1">
      <c r="A76" s="871">
        <v>59</v>
      </c>
      <c r="B76" s="871">
        <v>6</v>
      </c>
      <c r="C76" s="869" t="s">
        <v>550</v>
      </c>
      <c r="D76" s="870">
        <v>32422</v>
      </c>
      <c r="E76" s="871" t="s">
        <v>29</v>
      </c>
      <c r="F76" s="874">
        <v>2.2599999999999998</v>
      </c>
      <c r="G76" s="1028">
        <v>1</v>
      </c>
      <c r="H76" s="1028">
        <v>4</v>
      </c>
      <c r="I76" s="1028">
        <v>2018</v>
      </c>
      <c r="J76" s="871"/>
      <c r="K76" s="871"/>
      <c r="L76" s="871"/>
      <c r="M76" s="871">
        <v>0.3</v>
      </c>
      <c r="N76" s="871"/>
      <c r="O76" s="871"/>
      <c r="P76" s="871"/>
      <c r="Q76" s="871">
        <v>40</v>
      </c>
      <c r="R76" s="873">
        <f t="shared" si="26"/>
        <v>0.90399999999999991</v>
      </c>
      <c r="S76" s="871"/>
      <c r="T76" s="871"/>
      <c r="U76" s="873">
        <f t="shared" si="27"/>
        <v>1.204</v>
      </c>
      <c r="V76" s="873">
        <f t="shared" si="22"/>
        <v>0.54239999999999999</v>
      </c>
      <c r="W76" s="873">
        <f t="shared" si="28"/>
        <v>4.0063999999999993</v>
      </c>
      <c r="X76" s="1015">
        <f t="shared" si="1"/>
        <v>5568.8959999999988</v>
      </c>
    </row>
    <row r="77" spans="1:26" ht="17.25" customHeight="1">
      <c r="A77" s="871">
        <v>60</v>
      </c>
      <c r="B77" s="871">
        <v>7</v>
      </c>
      <c r="C77" s="869" t="s">
        <v>551</v>
      </c>
      <c r="D77" s="870">
        <v>30111</v>
      </c>
      <c r="E77" s="871" t="s">
        <v>29</v>
      </c>
      <c r="F77" s="872">
        <v>2.66</v>
      </c>
      <c r="G77" s="1028">
        <v>2</v>
      </c>
      <c r="H77" s="1028">
        <v>12</v>
      </c>
      <c r="I77" s="1028">
        <v>2018</v>
      </c>
      <c r="J77" s="871"/>
      <c r="K77" s="871"/>
      <c r="L77" s="871"/>
      <c r="M77" s="871">
        <v>0.3</v>
      </c>
      <c r="N77" s="871"/>
      <c r="O77" s="871"/>
      <c r="P77" s="871"/>
      <c r="Q77" s="871">
        <v>40</v>
      </c>
      <c r="R77" s="873">
        <f t="shared" si="26"/>
        <v>1.0640000000000001</v>
      </c>
      <c r="S77" s="871"/>
      <c r="T77" s="871"/>
      <c r="U77" s="873">
        <f t="shared" si="27"/>
        <v>1.3640000000000001</v>
      </c>
      <c r="V77" s="873">
        <f t="shared" si="22"/>
        <v>0.63840000000000008</v>
      </c>
      <c r="W77" s="873">
        <f t="shared" si="28"/>
        <v>4.6623999999999999</v>
      </c>
      <c r="X77" s="1015">
        <f t="shared" si="1"/>
        <v>6480.7359999999999</v>
      </c>
    </row>
    <row r="78" spans="1:26" ht="17.25" customHeight="1">
      <c r="A78" s="871">
        <v>61</v>
      </c>
      <c r="B78" s="871">
        <v>8</v>
      </c>
      <c r="C78" s="869" t="s">
        <v>552</v>
      </c>
      <c r="D78" s="871" t="s">
        <v>553</v>
      </c>
      <c r="E78" s="871" t="s">
        <v>38</v>
      </c>
      <c r="F78" s="872">
        <v>3.86</v>
      </c>
      <c r="G78" s="1028">
        <v>1</v>
      </c>
      <c r="H78" s="1028">
        <v>12</v>
      </c>
      <c r="I78" s="1028">
        <v>2015</v>
      </c>
      <c r="J78" s="871"/>
      <c r="K78" s="871"/>
      <c r="L78" s="871"/>
      <c r="M78" s="871">
        <v>0.3</v>
      </c>
      <c r="N78" s="871"/>
      <c r="O78" s="871"/>
      <c r="P78" s="871"/>
      <c r="Q78" s="871">
        <v>40</v>
      </c>
      <c r="R78" s="873">
        <f t="shared" si="26"/>
        <v>1.544</v>
      </c>
      <c r="S78" s="871"/>
      <c r="T78" s="871"/>
      <c r="U78" s="873">
        <f t="shared" si="27"/>
        <v>1.8440000000000001</v>
      </c>
      <c r="V78" s="873">
        <f t="shared" si="22"/>
        <v>0.9264</v>
      </c>
      <c r="W78" s="873">
        <f t="shared" si="28"/>
        <v>6.6303999999999998</v>
      </c>
      <c r="X78" s="1015">
        <f t="shared" ref="X78:X116" si="29">SUM(W78)*1390</f>
        <v>9216.2559999999994</v>
      </c>
    </row>
    <row r="79" spans="1:26" s="13" customFormat="1" ht="17.25" customHeight="1">
      <c r="A79" s="871">
        <v>62</v>
      </c>
      <c r="B79" s="871">
        <v>9</v>
      </c>
      <c r="C79" s="869" t="s">
        <v>241</v>
      </c>
      <c r="D79" s="870">
        <v>34255</v>
      </c>
      <c r="E79" s="871" t="s">
        <v>31</v>
      </c>
      <c r="F79" s="872">
        <v>2.34</v>
      </c>
      <c r="G79" s="1028">
        <v>1</v>
      </c>
      <c r="H79" s="1028">
        <v>4</v>
      </c>
      <c r="I79" s="1028">
        <v>2019</v>
      </c>
      <c r="J79" s="871"/>
      <c r="K79" s="871"/>
      <c r="L79" s="871"/>
      <c r="M79" s="871">
        <v>0.3</v>
      </c>
      <c r="N79" s="871"/>
      <c r="O79" s="871"/>
      <c r="P79" s="871"/>
      <c r="Q79" s="871">
        <v>40</v>
      </c>
      <c r="R79" s="873">
        <f t="shared" ref="R79" si="30">SUM(F79+K79+L79)*Q79%</f>
        <v>0.93599999999999994</v>
      </c>
      <c r="S79" s="871"/>
      <c r="T79" s="871"/>
      <c r="U79" s="873">
        <f t="shared" ref="U79" si="31">SUM(K79+L79+M79+N79+O79+P79+R79+S79+T79)</f>
        <v>1.236</v>
      </c>
      <c r="V79" s="873">
        <f t="shared" ref="V79" si="32">SUM(F79+K79+L79+S79)*24/100</f>
        <v>0.56159999999999999</v>
      </c>
      <c r="W79" s="873">
        <f t="shared" ref="W79" si="33">SUM(F79+U79+V79)</f>
        <v>4.1375999999999999</v>
      </c>
      <c r="X79" s="1015">
        <f t="shared" ref="X79" si="34">SUM(W79)*1390</f>
        <v>5751.2640000000001</v>
      </c>
      <c r="Y79"/>
      <c r="Z79"/>
    </row>
    <row r="80" spans="1:26" ht="17.25" customHeight="1">
      <c r="A80" s="871">
        <v>63</v>
      </c>
      <c r="B80" s="871">
        <v>10</v>
      </c>
      <c r="C80" s="869" t="s">
        <v>554</v>
      </c>
      <c r="D80" s="871" t="s">
        <v>555</v>
      </c>
      <c r="E80" s="871" t="s">
        <v>38</v>
      </c>
      <c r="F80" s="872">
        <v>3.86</v>
      </c>
      <c r="G80" s="1028">
        <v>1</v>
      </c>
      <c r="H80" s="1028">
        <v>12</v>
      </c>
      <c r="I80" s="1028">
        <v>2015</v>
      </c>
      <c r="J80" s="871"/>
      <c r="K80" s="871"/>
      <c r="L80" s="871"/>
      <c r="M80" s="871">
        <v>0.3</v>
      </c>
      <c r="N80" s="871"/>
      <c r="O80" s="871"/>
      <c r="P80" s="871"/>
      <c r="Q80" s="871">
        <v>40</v>
      </c>
      <c r="R80" s="873">
        <f t="shared" si="26"/>
        <v>1.544</v>
      </c>
      <c r="S80" s="871"/>
      <c r="T80" s="871"/>
      <c r="U80" s="873">
        <f t="shared" si="27"/>
        <v>1.8440000000000001</v>
      </c>
      <c r="V80" s="873">
        <f t="shared" si="22"/>
        <v>0.9264</v>
      </c>
      <c r="W80" s="873">
        <f t="shared" si="28"/>
        <v>6.6303999999999998</v>
      </c>
      <c r="X80" s="1015">
        <f t="shared" si="29"/>
        <v>9216.2559999999994</v>
      </c>
    </row>
    <row r="81" spans="1:24" ht="17.25" customHeight="1">
      <c r="A81" s="871"/>
      <c r="B81" s="871"/>
      <c r="C81" s="1353" t="s">
        <v>556</v>
      </c>
      <c r="D81" s="1353"/>
      <c r="E81" s="871"/>
      <c r="F81" s="872"/>
      <c r="G81" s="1025"/>
      <c r="H81" s="1025"/>
      <c r="I81" s="1026"/>
      <c r="J81" s="871"/>
      <c r="K81" s="871"/>
      <c r="L81" s="871"/>
      <c r="M81" s="871"/>
      <c r="N81" s="871"/>
      <c r="O81" s="871"/>
      <c r="P81" s="871"/>
      <c r="Q81" s="871"/>
      <c r="R81" s="873"/>
      <c r="S81" s="871"/>
      <c r="T81" s="871"/>
      <c r="U81" s="873"/>
      <c r="V81" s="873"/>
      <c r="W81" s="873"/>
      <c r="X81" s="1015"/>
    </row>
    <row r="82" spans="1:24" ht="17.25" customHeight="1">
      <c r="A82" s="871">
        <v>64</v>
      </c>
      <c r="B82" s="871">
        <v>1</v>
      </c>
      <c r="C82" s="869" t="s">
        <v>405</v>
      </c>
      <c r="D82" s="871" t="s">
        <v>557</v>
      </c>
      <c r="E82" s="871" t="s">
        <v>31</v>
      </c>
      <c r="F82" s="874">
        <v>4.6500000000000004</v>
      </c>
      <c r="G82" s="1027">
        <v>1</v>
      </c>
      <c r="H82" s="1027">
        <v>8</v>
      </c>
      <c r="I82" s="1027">
        <v>2017</v>
      </c>
      <c r="J82" s="871"/>
      <c r="K82" s="871"/>
      <c r="L82" s="871">
        <v>0.4</v>
      </c>
      <c r="M82" s="871">
        <v>0.3</v>
      </c>
      <c r="N82" s="871"/>
      <c r="O82" s="871"/>
      <c r="P82" s="878"/>
      <c r="Q82" s="871">
        <v>70</v>
      </c>
      <c r="R82" s="873">
        <f t="shared" ref="R82:R93" si="35">SUM(F82+K82+L82)*Q82%</f>
        <v>3.5350000000000001</v>
      </c>
      <c r="S82" s="871"/>
      <c r="T82" s="871"/>
      <c r="U82" s="873">
        <f t="shared" ref="U82:U93" si="36">SUM(K82+L82+M82+N82+O82+P82+R82+S82+T82)</f>
        <v>4.2350000000000003</v>
      </c>
      <c r="V82" s="873">
        <f t="shared" si="22"/>
        <v>1.2120000000000002</v>
      </c>
      <c r="W82" s="873">
        <f t="shared" ref="W82:W93" si="37">SUM(F82+U82+V82)</f>
        <v>10.097000000000001</v>
      </c>
      <c r="X82" s="1015">
        <f t="shared" si="29"/>
        <v>14034.830000000002</v>
      </c>
    </row>
    <row r="83" spans="1:24" ht="17.25" customHeight="1">
      <c r="A83" s="871">
        <v>65</v>
      </c>
      <c r="B83" s="871">
        <v>2</v>
      </c>
      <c r="C83" s="766" t="s">
        <v>280</v>
      </c>
      <c r="D83" s="875" t="s">
        <v>281</v>
      </c>
      <c r="E83" s="875" t="s">
        <v>31</v>
      </c>
      <c r="F83" s="874">
        <v>3.33</v>
      </c>
      <c r="G83" s="1028">
        <v>15</v>
      </c>
      <c r="H83" s="1028">
        <v>4</v>
      </c>
      <c r="I83" s="1028">
        <v>2018</v>
      </c>
      <c r="J83" s="875"/>
      <c r="K83" s="875"/>
      <c r="L83" s="875">
        <v>0.3</v>
      </c>
      <c r="M83" s="875">
        <v>0.3</v>
      </c>
      <c r="N83" s="875"/>
      <c r="O83" s="875"/>
      <c r="P83" s="875"/>
      <c r="Q83" s="875">
        <v>60</v>
      </c>
      <c r="R83" s="877">
        <f t="shared" si="35"/>
        <v>2.1779999999999999</v>
      </c>
      <c r="S83" s="875"/>
      <c r="T83" s="875"/>
      <c r="U83" s="877">
        <f t="shared" si="36"/>
        <v>2.778</v>
      </c>
      <c r="V83" s="873">
        <f t="shared" si="22"/>
        <v>0.87120000000000009</v>
      </c>
      <c r="W83" s="877">
        <f t="shared" si="37"/>
        <v>6.9792000000000005</v>
      </c>
      <c r="X83" s="1016">
        <f t="shared" si="29"/>
        <v>9701.0880000000016</v>
      </c>
    </row>
    <row r="84" spans="1:24" ht="17.25" customHeight="1">
      <c r="A84" s="871">
        <v>66</v>
      </c>
      <c r="B84" s="871">
        <v>3</v>
      </c>
      <c r="C84" s="869" t="s">
        <v>558</v>
      </c>
      <c r="D84" s="870">
        <v>30779</v>
      </c>
      <c r="E84" s="871" t="s">
        <v>31</v>
      </c>
      <c r="F84" s="874">
        <v>3</v>
      </c>
      <c r="G84" s="1028">
        <v>1</v>
      </c>
      <c r="H84" s="1028">
        <v>6</v>
      </c>
      <c r="I84" s="1028">
        <v>2018</v>
      </c>
      <c r="J84" s="871"/>
      <c r="K84" s="871"/>
      <c r="L84" s="871"/>
      <c r="M84" s="871">
        <v>0.3</v>
      </c>
      <c r="N84" s="871"/>
      <c r="O84" s="871"/>
      <c r="P84" s="871"/>
      <c r="Q84" s="871">
        <v>50</v>
      </c>
      <c r="R84" s="873">
        <f t="shared" si="35"/>
        <v>1.5</v>
      </c>
      <c r="S84" s="871"/>
      <c r="T84" s="871"/>
      <c r="U84" s="873">
        <f t="shared" si="36"/>
        <v>1.8</v>
      </c>
      <c r="V84" s="873">
        <f t="shared" si="22"/>
        <v>0.72</v>
      </c>
      <c r="W84" s="873">
        <f t="shared" si="37"/>
        <v>5.52</v>
      </c>
      <c r="X84" s="1015">
        <f t="shared" si="29"/>
        <v>7672.7999999999993</v>
      </c>
    </row>
    <row r="85" spans="1:24" ht="17.25" customHeight="1">
      <c r="A85" s="871">
        <v>67</v>
      </c>
      <c r="B85" s="871">
        <v>4</v>
      </c>
      <c r="C85" s="869" t="s">
        <v>559</v>
      </c>
      <c r="D85" s="870">
        <v>29502</v>
      </c>
      <c r="E85" s="871" t="s">
        <v>31</v>
      </c>
      <c r="F85" s="872">
        <v>3</v>
      </c>
      <c r="G85" s="1028">
        <v>15</v>
      </c>
      <c r="H85" s="1028">
        <v>12</v>
      </c>
      <c r="I85" s="1028">
        <v>2013</v>
      </c>
      <c r="J85" s="871"/>
      <c r="K85" s="871"/>
      <c r="L85" s="871"/>
      <c r="M85" s="871">
        <v>0.3</v>
      </c>
      <c r="N85" s="871"/>
      <c r="O85" s="871"/>
      <c r="P85" s="871"/>
      <c r="Q85" s="871">
        <v>40</v>
      </c>
      <c r="R85" s="873">
        <f t="shared" si="35"/>
        <v>1.2000000000000002</v>
      </c>
      <c r="S85" s="871"/>
      <c r="T85" s="871"/>
      <c r="U85" s="873">
        <f t="shared" si="36"/>
        <v>1.5000000000000002</v>
      </c>
      <c r="V85" s="873">
        <f t="shared" si="22"/>
        <v>0.72</v>
      </c>
      <c r="W85" s="873">
        <f t="shared" si="37"/>
        <v>5.22</v>
      </c>
      <c r="X85" s="1015">
        <f t="shared" si="29"/>
        <v>7255.7999999999993</v>
      </c>
    </row>
    <row r="86" spans="1:24" ht="17.25" customHeight="1">
      <c r="A86" s="871">
        <v>68</v>
      </c>
      <c r="B86" s="871">
        <v>5</v>
      </c>
      <c r="C86" s="869" t="s">
        <v>560</v>
      </c>
      <c r="D86" s="871" t="s">
        <v>561</v>
      </c>
      <c r="E86" s="871" t="s">
        <v>38</v>
      </c>
      <c r="F86" s="872">
        <v>2.66</v>
      </c>
      <c r="G86" s="1028">
        <v>2</v>
      </c>
      <c r="H86" s="1028">
        <v>12</v>
      </c>
      <c r="I86" s="1028">
        <v>2018</v>
      </c>
      <c r="J86" s="871"/>
      <c r="K86" s="871"/>
      <c r="L86" s="871"/>
      <c r="M86" s="871">
        <v>0.3</v>
      </c>
      <c r="N86" s="871"/>
      <c r="O86" s="871"/>
      <c r="P86" s="871"/>
      <c r="Q86" s="871">
        <v>40</v>
      </c>
      <c r="R86" s="873">
        <f t="shared" si="35"/>
        <v>1.0640000000000001</v>
      </c>
      <c r="S86" s="871"/>
      <c r="T86" s="871"/>
      <c r="U86" s="873">
        <f t="shared" si="36"/>
        <v>1.3640000000000001</v>
      </c>
      <c r="V86" s="873">
        <f t="shared" si="22"/>
        <v>0.63840000000000008</v>
      </c>
      <c r="W86" s="873">
        <f t="shared" si="37"/>
        <v>4.6623999999999999</v>
      </c>
      <c r="X86" s="1015">
        <f t="shared" si="29"/>
        <v>6480.7359999999999</v>
      </c>
    </row>
    <row r="87" spans="1:24" ht="17.25" customHeight="1">
      <c r="A87" s="871">
        <v>69</v>
      </c>
      <c r="B87" s="871">
        <v>6</v>
      </c>
      <c r="C87" s="869" t="s">
        <v>337</v>
      </c>
      <c r="D87" s="871" t="s">
        <v>562</v>
      </c>
      <c r="E87" s="871" t="s">
        <v>29</v>
      </c>
      <c r="F87" s="872">
        <v>2.46</v>
      </c>
      <c r="G87" s="1028">
        <v>1</v>
      </c>
      <c r="H87" s="1028">
        <v>12</v>
      </c>
      <c r="I87" s="1028">
        <v>2015</v>
      </c>
      <c r="J87" s="871"/>
      <c r="K87" s="871"/>
      <c r="L87" s="871"/>
      <c r="M87" s="871">
        <v>0.3</v>
      </c>
      <c r="N87" s="871"/>
      <c r="O87" s="871"/>
      <c r="P87" s="871"/>
      <c r="Q87" s="871">
        <v>40</v>
      </c>
      <c r="R87" s="873">
        <f t="shared" si="35"/>
        <v>0.98399999999999999</v>
      </c>
      <c r="S87" s="871"/>
      <c r="T87" s="871"/>
      <c r="U87" s="873">
        <f t="shared" si="36"/>
        <v>1.284</v>
      </c>
      <c r="V87" s="873">
        <f t="shared" si="22"/>
        <v>0.59040000000000004</v>
      </c>
      <c r="W87" s="873">
        <f t="shared" si="37"/>
        <v>4.3343999999999996</v>
      </c>
      <c r="X87" s="1015">
        <f t="shared" si="29"/>
        <v>6024.8159999999998</v>
      </c>
    </row>
    <row r="88" spans="1:24" ht="17.25" customHeight="1">
      <c r="A88" s="871">
        <v>70</v>
      </c>
      <c r="B88" s="871">
        <v>7</v>
      </c>
      <c r="C88" s="869" t="s">
        <v>339</v>
      </c>
      <c r="D88" s="871" t="s">
        <v>563</v>
      </c>
      <c r="E88" s="871" t="s">
        <v>29</v>
      </c>
      <c r="F88" s="872">
        <v>2.46</v>
      </c>
      <c r="G88" s="1028">
        <v>1</v>
      </c>
      <c r="H88" s="1028">
        <v>12</v>
      </c>
      <c r="I88" s="1028">
        <v>2015</v>
      </c>
      <c r="J88" s="871"/>
      <c r="K88" s="871"/>
      <c r="L88" s="871"/>
      <c r="M88" s="871">
        <v>0.3</v>
      </c>
      <c r="N88" s="871"/>
      <c r="O88" s="871"/>
      <c r="P88" s="871"/>
      <c r="Q88" s="871">
        <v>40</v>
      </c>
      <c r="R88" s="873">
        <f t="shared" si="35"/>
        <v>0.98399999999999999</v>
      </c>
      <c r="S88" s="871"/>
      <c r="T88" s="871"/>
      <c r="U88" s="873">
        <f t="shared" si="36"/>
        <v>1.284</v>
      </c>
      <c r="V88" s="873">
        <f t="shared" si="22"/>
        <v>0.59040000000000004</v>
      </c>
      <c r="W88" s="873">
        <f t="shared" si="37"/>
        <v>4.3343999999999996</v>
      </c>
      <c r="X88" s="1015">
        <f t="shared" si="29"/>
        <v>6024.8159999999998</v>
      </c>
    </row>
    <row r="89" spans="1:24" ht="17.25" customHeight="1">
      <c r="A89" s="871">
        <v>71</v>
      </c>
      <c r="B89" s="871">
        <v>8</v>
      </c>
      <c r="C89" s="869" t="s">
        <v>282</v>
      </c>
      <c r="D89" s="871" t="s">
        <v>564</v>
      </c>
      <c r="E89" s="871" t="s">
        <v>29</v>
      </c>
      <c r="F89" s="872">
        <v>2.46</v>
      </c>
      <c r="G89" s="1028">
        <v>1</v>
      </c>
      <c r="H89" s="1028">
        <v>12</v>
      </c>
      <c r="I89" s="1028">
        <v>2015</v>
      </c>
      <c r="J89" s="871"/>
      <c r="K89" s="871"/>
      <c r="L89" s="871"/>
      <c r="M89" s="871">
        <v>0.3</v>
      </c>
      <c r="N89" s="871"/>
      <c r="O89" s="871"/>
      <c r="P89" s="871"/>
      <c r="Q89" s="871">
        <v>40</v>
      </c>
      <c r="R89" s="873">
        <f t="shared" si="35"/>
        <v>0.98399999999999999</v>
      </c>
      <c r="S89" s="871"/>
      <c r="T89" s="871"/>
      <c r="U89" s="873">
        <f t="shared" si="36"/>
        <v>1.284</v>
      </c>
      <c r="V89" s="873">
        <f t="shared" si="22"/>
        <v>0.59040000000000004</v>
      </c>
      <c r="W89" s="873">
        <f t="shared" si="37"/>
        <v>4.3343999999999996</v>
      </c>
      <c r="X89" s="1015">
        <f t="shared" si="29"/>
        <v>6024.8159999999998</v>
      </c>
    </row>
    <row r="90" spans="1:24" ht="17.25" customHeight="1">
      <c r="A90" s="871">
        <v>72</v>
      </c>
      <c r="B90" s="871">
        <v>9</v>
      </c>
      <c r="C90" s="869" t="s">
        <v>102</v>
      </c>
      <c r="D90" s="871" t="s">
        <v>565</v>
      </c>
      <c r="E90" s="871" t="s">
        <v>38</v>
      </c>
      <c r="F90" s="872">
        <v>2.46</v>
      </c>
      <c r="G90" s="1028">
        <v>1</v>
      </c>
      <c r="H90" s="1028">
        <v>12</v>
      </c>
      <c r="I90" s="1028">
        <v>2015</v>
      </c>
      <c r="J90" s="871"/>
      <c r="K90" s="871"/>
      <c r="L90" s="871"/>
      <c r="M90" s="871">
        <v>0.3</v>
      </c>
      <c r="N90" s="871"/>
      <c r="O90" s="871"/>
      <c r="P90" s="871"/>
      <c r="Q90" s="871">
        <v>40</v>
      </c>
      <c r="R90" s="873">
        <f t="shared" si="35"/>
        <v>0.98399999999999999</v>
      </c>
      <c r="S90" s="871"/>
      <c r="T90" s="871"/>
      <c r="U90" s="873">
        <f t="shared" si="36"/>
        <v>1.284</v>
      </c>
      <c r="V90" s="873">
        <f t="shared" si="22"/>
        <v>0.59040000000000004</v>
      </c>
      <c r="W90" s="873">
        <f t="shared" si="37"/>
        <v>4.3343999999999996</v>
      </c>
      <c r="X90" s="1015">
        <f t="shared" si="29"/>
        <v>6024.8159999999998</v>
      </c>
    </row>
    <row r="91" spans="1:24" ht="17.25" customHeight="1">
      <c r="A91" s="871">
        <v>73</v>
      </c>
      <c r="B91" s="871">
        <v>10</v>
      </c>
      <c r="C91" s="869" t="s">
        <v>410</v>
      </c>
      <c r="D91" s="871" t="s">
        <v>566</v>
      </c>
      <c r="E91" s="871" t="s">
        <v>29</v>
      </c>
      <c r="F91" s="872">
        <v>2.06</v>
      </c>
      <c r="G91" s="1028">
        <v>13</v>
      </c>
      <c r="H91" s="1028">
        <v>1</v>
      </c>
      <c r="I91" s="1028">
        <v>2018</v>
      </c>
      <c r="J91" s="871"/>
      <c r="K91" s="871"/>
      <c r="L91" s="871"/>
      <c r="M91" s="871">
        <v>0.3</v>
      </c>
      <c r="N91" s="871"/>
      <c r="O91" s="871"/>
      <c r="P91" s="871"/>
      <c r="Q91" s="871">
        <v>40</v>
      </c>
      <c r="R91" s="873">
        <f t="shared" si="35"/>
        <v>0.82400000000000007</v>
      </c>
      <c r="S91" s="871"/>
      <c r="T91" s="871"/>
      <c r="U91" s="873">
        <f t="shared" si="36"/>
        <v>1.1240000000000001</v>
      </c>
      <c r="V91" s="873">
        <f t="shared" si="22"/>
        <v>0.49439999999999995</v>
      </c>
      <c r="W91" s="873">
        <f t="shared" si="37"/>
        <v>3.6783999999999999</v>
      </c>
      <c r="X91" s="1015">
        <f t="shared" si="29"/>
        <v>5112.9759999999997</v>
      </c>
    </row>
    <row r="92" spans="1:24" ht="17.25" customHeight="1">
      <c r="A92" s="871">
        <v>74</v>
      </c>
      <c r="B92" s="871">
        <v>11</v>
      </c>
      <c r="C92" s="869" t="s">
        <v>567</v>
      </c>
      <c r="D92" s="870">
        <v>25116</v>
      </c>
      <c r="E92" s="871" t="s">
        <v>29</v>
      </c>
      <c r="F92" s="872">
        <v>4.0599999999999996</v>
      </c>
      <c r="G92" s="1028">
        <v>1</v>
      </c>
      <c r="H92" s="1028">
        <v>10</v>
      </c>
      <c r="I92" s="1028">
        <v>2018</v>
      </c>
      <c r="J92" s="871">
        <v>6</v>
      </c>
      <c r="K92" s="871">
        <f t="shared" ref="K92:K103" si="38">SUM(F92*J92%)</f>
        <v>0.24359999999999996</v>
      </c>
      <c r="L92" s="871"/>
      <c r="M92" s="871">
        <v>0.3</v>
      </c>
      <c r="N92" s="871"/>
      <c r="O92" s="871"/>
      <c r="P92" s="871"/>
      <c r="Q92" s="871">
        <v>40</v>
      </c>
      <c r="R92" s="873">
        <f t="shared" si="35"/>
        <v>1.7214399999999999</v>
      </c>
      <c r="S92" s="871"/>
      <c r="T92" s="871"/>
      <c r="U92" s="873">
        <f t="shared" si="36"/>
        <v>2.2650399999999999</v>
      </c>
      <c r="V92" s="873">
        <f t="shared" si="22"/>
        <v>1.0328639999999998</v>
      </c>
      <c r="W92" s="873">
        <f t="shared" si="37"/>
        <v>7.3579039999999996</v>
      </c>
      <c r="X92" s="1015">
        <f t="shared" si="29"/>
        <v>10227.486559999999</v>
      </c>
    </row>
    <row r="93" spans="1:24" ht="17.25" customHeight="1">
      <c r="A93" s="871">
        <v>75</v>
      </c>
      <c r="B93" s="871">
        <v>12</v>
      </c>
      <c r="C93" s="869" t="s">
        <v>91</v>
      </c>
      <c r="D93" s="871" t="s">
        <v>568</v>
      </c>
      <c r="E93" s="871" t="s">
        <v>29</v>
      </c>
      <c r="F93" s="872">
        <v>4.0599999999999996</v>
      </c>
      <c r="G93" s="1028">
        <v>1</v>
      </c>
      <c r="H93" s="1028">
        <v>12</v>
      </c>
      <c r="I93" s="1028">
        <v>2018</v>
      </c>
      <c r="J93" s="871">
        <v>9</v>
      </c>
      <c r="K93" s="871">
        <f t="shared" si="38"/>
        <v>0.36539999999999995</v>
      </c>
      <c r="L93" s="871"/>
      <c r="M93" s="871">
        <v>0.3</v>
      </c>
      <c r="N93" s="871"/>
      <c r="O93" s="871"/>
      <c r="P93" s="871"/>
      <c r="Q93" s="871">
        <v>40</v>
      </c>
      <c r="R93" s="873">
        <f t="shared" si="35"/>
        <v>1.77016</v>
      </c>
      <c r="S93" s="871"/>
      <c r="T93" s="871"/>
      <c r="U93" s="873">
        <f t="shared" si="36"/>
        <v>2.4355599999999997</v>
      </c>
      <c r="V93" s="873">
        <f t="shared" si="22"/>
        <v>1.0620959999999999</v>
      </c>
      <c r="W93" s="873">
        <f t="shared" si="37"/>
        <v>7.5576559999999997</v>
      </c>
      <c r="X93" s="1015">
        <f t="shared" si="29"/>
        <v>10505.14184</v>
      </c>
    </row>
    <row r="94" spans="1:24" ht="17.25" customHeight="1">
      <c r="A94" s="871"/>
      <c r="B94" s="871"/>
      <c r="C94" s="1353" t="s">
        <v>569</v>
      </c>
      <c r="D94" s="1353"/>
      <c r="E94" s="871"/>
      <c r="F94" s="872"/>
      <c r="G94" s="1025"/>
      <c r="H94" s="1025"/>
      <c r="I94" s="1026"/>
      <c r="J94" s="871"/>
      <c r="K94" s="871"/>
      <c r="L94" s="871"/>
      <c r="M94" s="871"/>
      <c r="N94" s="871"/>
      <c r="O94" s="871"/>
      <c r="P94" s="871"/>
      <c r="Q94" s="871"/>
      <c r="R94" s="873"/>
      <c r="S94" s="871"/>
      <c r="T94" s="871"/>
      <c r="U94" s="873"/>
      <c r="V94" s="873"/>
      <c r="W94" s="873"/>
      <c r="X94" s="1015"/>
    </row>
    <row r="95" spans="1:24" ht="17.25" customHeight="1">
      <c r="A95" s="871">
        <v>76</v>
      </c>
      <c r="B95" s="871">
        <v>1</v>
      </c>
      <c r="C95" s="869" t="s">
        <v>570</v>
      </c>
      <c r="D95" s="870">
        <v>26487</v>
      </c>
      <c r="E95" s="871" t="s">
        <v>206</v>
      </c>
      <c r="F95" s="872">
        <v>4.0599999999999996</v>
      </c>
      <c r="G95" s="1028">
        <v>1</v>
      </c>
      <c r="H95" s="1028">
        <v>11</v>
      </c>
      <c r="I95" s="1028">
        <v>2018</v>
      </c>
      <c r="J95" s="871">
        <v>7</v>
      </c>
      <c r="K95" s="871">
        <f t="shared" si="38"/>
        <v>0.28420000000000001</v>
      </c>
      <c r="L95" s="871">
        <v>0.4</v>
      </c>
      <c r="M95" s="871">
        <v>0.3</v>
      </c>
      <c r="N95" s="871"/>
      <c r="O95" s="871"/>
      <c r="P95" s="871">
        <v>0.3</v>
      </c>
      <c r="Q95" s="871">
        <v>70</v>
      </c>
      <c r="R95" s="873">
        <f t="shared" ref="R95:R103" si="39">SUM(F95+K95+L95)*Q95%</f>
        <v>3.3209399999999998</v>
      </c>
      <c r="S95" s="871"/>
      <c r="T95" s="871"/>
      <c r="U95" s="873">
        <f t="shared" ref="U95:U103" si="40">SUM(K95+L95+M95+N95+O95+P95+R95+S95+T95)</f>
        <v>4.6051399999999996</v>
      </c>
      <c r="V95" s="873">
        <f t="shared" si="22"/>
        <v>1.1386080000000001</v>
      </c>
      <c r="W95" s="873">
        <f t="shared" ref="W95:W103" si="41">SUM(F95+U95+V95)</f>
        <v>9.8037479999999988</v>
      </c>
      <c r="X95" s="1015">
        <f t="shared" si="29"/>
        <v>13627.209719999999</v>
      </c>
    </row>
    <row r="96" spans="1:24" ht="17.25" customHeight="1">
      <c r="A96" s="871">
        <v>77</v>
      </c>
      <c r="B96" s="871">
        <v>2</v>
      </c>
      <c r="C96" s="869" t="s">
        <v>571</v>
      </c>
      <c r="D96" s="871" t="s">
        <v>572</v>
      </c>
      <c r="E96" s="871" t="s">
        <v>31</v>
      </c>
      <c r="F96" s="874">
        <v>3.33</v>
      </c>
      <c r="G96" s="1028">
        <v>1</v>
      </c>
      <c r="H96" s="1028">
        <v>1</v>
      </c>
      <c r="I96" s="1028">
        <v>2018</v>
      </c>
      <c r="J96" s="871"/>
      <c r="K96" s="871"/>
      <c r="L96" s="871">
        <v>0.3</v>
      </c>
      <c r="M96" s="871">
        <v>0.3</v>
      </c>
      <c r="N96" s="871"/>
      <c r="O96" s="871"/>
      <c r="P96" s="871">
        <v>0.4</v>
      </c>
      <c r="Q96" s="871">
        <v>40</v>
      </c>
      <c r="R96" s="873">
        <f t="shared" si="39"/>
        <v>1.452</v>
      </c>
      <c r="S96" s="871"/>
      <c r="T96" s="871"/>
      <c r="U96" s="873">
        <f t="shared" si="40"/>
        <v>2.452</v>
      </c>
      <c r="V96" s="873">
        <f t="shared" si="22"/>
        <v>0.87120000000000009</v>
      </c>
      <c r="W96" s="873">
        <f t="shared" si="41"/>
        <v>6.6532</v>
      </c>
      <c r="X96" s="1015">
        <f t="shared" si="29"/>
        <v>9247.9480000000003</v>
      </c>
    </row>
    <row r="97" spans="1:24" ht="17.25" customHeight="1">
      <c r="A97" s="871">
        <v>78</v>
      </c>
      <c r="B97" s="871">
        <v>3</v>
      </c>
      <c r="C97" s="869" t="s">
        <v>573</v>
      </c>
      <c r="D97" s="871" t="s">
        <v>574</v>
      </c>
      <c r="E97" s="871" t="s">
        <v>206</v>
      </c>
      <c r="F97" s="872">
        <v>3.06</v>
      </c>
      <c r="G97" s="1031">
        <v>15</v>
      </c>
      <c r="H97" s="1031">
        <v>8</v>
      </c>
      <c r="I97" s="1028">
        <v>2018</v>
      </c>
      <c r="J97" s="871"/>
      <c r="K97" s="871"/>
      <c r="L97" s="871"/>
      <c r="M97" s="871">
        <v>0.3</v>
      </c>
      <c r="N97" s="871"/>
      <c r="O97" s="871"/>
      <c r="P97" s="871">
        <v>0.4</v>
      </c>
      <c r="Q97" s="871">
        <v>40</v>
      </c>
      <c r="R97" s="873">
        <f t="shared" si="39"/>
        <v>1.2240000000000002</v>
      </c>
      <c r="S97" s="872">
        <v>0.06</v>
      </c>
      <c r="T97" s="872"/>
      <c r="U97" s="873">
        <f t="shared" si="40"/>
        <v>1.9840000000000002</v>
      </c>
      <c r="V97" s="873">
        <f t="shared" si="22"/>
        <v>0.74879999999999991</v>
      </c>
      <c r="W97" s="873">
        <f t="shared" si="41"/>
        <v>5.7928000000000006</v>
      </c>
      <c r="X97" s="1015">
        <f t="shared" si="29"/>
        <v>8051.9920000000011</v>
      </c>
    </row>
    <row r="98" spans="1:24" ht="17.25" customHeight="1">
      <c r="A98" s="871">
        <v>79</v>
      </c>
      <c r="B98" s="871">
        <v>4</v>
      </c>
      <c r="C98" s="869" t="s">
        <v>205</v>
      </c>
      <c r="D98" s="871" t="s">
        <v>575</v>
      </c>
      <c r="E98" s="871" t="s">
        <v>206</v>
      </c>
      <c r="F98" s="872">
        <v>4.0599999999999996</v>
      </c>
      <c r="G98" s="1028">
        <v>1</v>
      </c>
      <c r="H98" s="1028">
        <v>3</v>
      </c>
      <c r="I98" s="1028">
        <v>2018</v>
      </c>
      <c r="J98" s="875">
        <v>8</v>
      </c>
      <c r="K98" s="871">
        <f t="shared" si="38"/>
        <v>0.32479999999999998</v>
      </c>
      <c r="L98" s="871"/>
      <c r="M98" s="871">
        <v>0.3</v>
      </c>
      <c r="N98" s="871"/>
      <c r="O98" s="871"/>
      <c r="P98" s="871">
        <v>0.3</v>
      </c>
      <c r="Q98" s="871">
        <v>70</v>
      </c>
      <c r="R98" s="873">
        <f t="shared" si="39"/>
        <v>3.0693599999999992</v>
      </c>
      <c r="S98" s="871"/>
      <c r="T98" s="871"/>
      <c r="U98" s="873">
        <f t="shared" si="40"/>
        <v>3.994159999999999</v>
      </c>
      <c r="V98" s="873">
        <f t="shared" si="22"/>
        <v>1.052352</v>
      </c>
      <c r="W98" s="873">
        <f t="shared" si="41"/>
        <v>9.1065119999999986</v>
      </c>
      <c r="X98" s="1015">
        <f t="shared" si="29"/>
        <v>12658.051679999999</v>
      </c>
    </row>
    <row r="99" spans="1:24" ht="17.25" customHeight="1">
      <c r="A99" s="871">
        <v>80</v>
      </c>
      <c r="B99" s="871">
        <v>5</v>
      </c>
      <c r="C99" s="869" t="s">
        <v>576</v>
      </c>
      <c r="D99" s="871" t="s">
        <v>577</v>
      </c>
      <c r="E99" s="871" t="s">
        <v>206</v>
      </c>
      <c r="F99" s="874">
        <v>2.46</v>
      </c>
      <c r="G99" s="1028">
        <v>1</v>
      </c>
      <c r="H99" s="1028">
        <v>4</v>
      </c>
      <c r="I99" s="1028">
        <v>2018</v>
      </c>
      <c r="J99" s="871"/>
      <c r="K99" s="871"/>
      <c r="L99" s="871"/>
      <c r="M99" s="871">
        <v>0.3</v>
      </c>
      <c r="N99" s="871"/>
      <c r="O99" s="871"/>
      <c r="P99" s="879">
        <v>0.3</v>
      </c>
      <c r="Q99" s="871">
        <v>70</v>
      </c>
      <c r="R99" s="873">
        <f t="shared" si="39"/>
        <v>1.722</v>
      </c>
      <c r="S99" s="871"/>
      <c r="T99" s="871"/>
      <c r="U99" s="873">
        <f t="shared" si="40"/>
        <v>2.3220000000000001</v>
      </c>
      <c r="V99" s="873">
        <f t="shared" si="22"/>
        <v>0.59040000000000004</v>
      </c>
      <c r="W99" s="873">
        <f t="shared" si="41"/>
        <v>5.3723999999999998</v>
      </c>
      <c r="X99" s="1015">
        <f t="shared" si="29"/>
        <v>7467.6359999999995</v>
      </c>
    </row>
    <row r="100" spans="1:24" ht="17.25" customHeight="1">
      <c r="A100" s="871">
        <v>81</v>
      </c>
      <c r="B100" s="871">
        <v>6</v>
      </c>
      <c r="C100" s="869" t="s">
        <v>578</v>
      </c>
      <c r="D100" s="870">
        <v>32451</v>
      </c>
      <c r="E100" s="871" t="s">
        <v>206</v>
      </c>
      <c r="F100" s="872">
        <v>2.46</v>
      </c>
      <c r="G100" s="1028">
        <v>1</v>
      </c>
      <c r="H100" s="1028">
        <v>12</v>
      </c>
      <c r="I100" s="1028">
        <v>2015</v>
      </c>
      <c r="J100" s="871"/>
      <c r="K100" s="871"/>
      <c r="L100" s="871"/>
      <c r="M100" s="871">
        <v>0.3</v>
      </c>
      <c r="N100" s="871"/>
      <c r="O100" s="871"/>
      <c r="P100" s="871">
        <v>0.4</v>
      </c>
      <c r="Q100" s="871">
        <v>40</v>
      </c>
      <c r="R100" s="873">
        <f t="shared" si="39"/>
        <v>0.98399999999999999</v>
      </c>
      <c r="S100" s="871"/>
      <c r="T100" s="871"/>
      <c r="U100" s="873">
        <f t="shared" si="40"/>
        <v>1.6839999999999999</v>
      </c>
      <c r="V100" s="873">
        <f t="shared" ref="V100:V131" si="42">SUM(F100+K100+L100+S100)*24/100</f>
        <v>0.59040000000000004</v>
      </c>
      <c r="W100" s="873">
        <f t="shared" si="41"/>
        <v>4.7343999999999999</v>
      </c>
      <c r="X100" s="1015">
        <f t="shared" si="29"/>
        <v>6580.8159999999998</v>
      </c>
    </row>
    <row r="101" spans="1:24" ht="17.25" customHeight="1">
      <c r="A101" s="871">
        <v>82</v>
      </c>
      <c r="B101" s="871">
        <v>7</v>
      </c>
      <c r="C101" s="869" t="s">
        <v>579</v>
      </c>
      <c r="D101" s="871" t="s">
        <v>580</v>
      </c>
      <c r="E101" s="871" t="s">
        <v>206</v>
      </c>
      <c r="F101" s="872">
        <v>2.46</v>
      </c>
      <c r="G101" s="1028">
        <v>1</v>
      </c>
      <c r="H101" s="1028">
        <v>12</v>
      </c>
      <c r="I101" s="1028">
        <v>2015</v>
      </c>
      <c r="J101" s="871"/>
      <c r="K101" s="871"/>
      <c r="L101" s="871"/>
      <c r="M101" s="871">
        <v>0.3</v>
      </c>
      <c r="N101" s="871"/>
      <c r="O101" s="871"/>
      <c r="P101" s="879">
        <v>0.2</v>
      </c>
      <c r="Q101" s="871">
        <v>60</v>
      </c>
      <c r="R101" s="873">
        <f t="shared" si="39"/>
        <v>1.476</v>
      </c>
      <c r="S101" s="871"/>
      <c r="T101" s="871"/>
      <c r="U101" s="873">
        <f t="shared" si="40"/>
        <v>1.976</v>
      </c>
      <c r="V101" s="873">
        <f t="shared" si="42"/>
        <v>0.59040000000000004</v>
      </c>
      <c r="W101" s="873">
        <f t="shared" si="41"/>
        <v>5.0263999999999998</v>
      </c>
      <c r="X101" s="1015">
        <f t="shared" si="29"/>
        <v>6986.6959999999999</v>
      </c>
    </row>
    <row r="102" spans="1:24" ht="17.25" customHeight="1">
      <c r="A102" s="871">
        <v>83</v>
      </c>
      <c r="B102" s="871">
        <v>8</v>
      </c>
      <c r="C102" s="869" t="s">
        <v>581</v>
      </c>
      <c r="D102" s="871" t="s">
        <v>582</v>
      </c>
      <c r="E102" s="871" t="s">
        <v>29</v>
      </c>
      <c r="F102" s="874">
        <v>4.0599999999999996</v>
      </c>
      <c r="G102" s="1028">
        <v>1</v>
      </c>
      <c r="H102" s="1028">
        <v>1</v>
      </c>
      <c r="I102" s="1028">
        <v>2018</v>
      </c>
      <c r="J102" s="875">
        <v>5</v>
      </c>
      <c r="K102" s="871">
        <f t="shared" si="38"/>
        <v>0.20299999999999999</v>
      </c>
      <c r="L102" s="875"/>
      <c r="M102" s="875">
        <v>0.3</v>
      </c>
      <c r="N102" s="875"/>
      <c r="O102" s="875"/>
      <c r="P102" s="875">
        <v>0.4</v>
      </c>
      <c r="Q102" s="875">
        <v>40</v>
      </c>
      <c r="R102" s="873">
        <f t="shared" si="39"/>
        <v>1.7052</v>
      </c>
      <c r="S102" s="871"/>
      <c r="T102" s="871"/>
      <c r="U102" s="873">
        <f t="shared" si="40"/>
        <v>2.6082000000000001</v>
      </c>
      <c r="V102" s="873">
        <f t="shared" si="42"/>
        <v>1.02312</v>
      </c>
      <c r="W102" s="873">
        <f t="shared" si="41"/>
        <v>7.6913199999999993</v>
      </c>
      <c r="X102" s="1015">
        <f t="shared" si="29"/>
        <v>10690.934799999999</v>
      </c>
    </row>
    <row r="103" spans="1:24" ht="17.25" customHeight="1">
      <c r="A103" s="871">
        <v>84</v>
      </c>
      <c r="B103" s="871">
        <v>9</v>
      </c>
      <c r="C103" s="869" t="s">
        <v>583</v>
      </c>
      <c r="D103" s="871" t="s">
        <v>584</v>
      </c>
      <c r="E103" s="871" t="s">
        <v>38</v>
      </c>
      <c r="F103" s="872">
        <v>4.0599999999999996</v>
      </c>
      <c r="G103" s="1028">
        <v>1</v>
      </c>
      <c r="H103" s="1028">
        <v>12</v>
      </c>
      <c r="I103" s="1028">
        <v>2018</v>
      </c>
      <c r="J103" s="871">
        <v>9</v>
      </c>
      <c r="K103" s="871">
        <f t="shared" si="38"/>
        <v>0.36539999999999995</v>
      </c>
      <c r="L103" s="871"/>
      <c r="M103" s="871">
        <v>0.3</v>
      </c>
      <c r="N103" s="871"/>
      <c r="O103" s="871"/>
      <c r="P103" s="871">
        <v>0.2</v>
      </c>
      <c r="Q103" s="871">
        <v>40</v>
      </c>
      <c r="R103" s="873">
        <f t="shared" si="39"/>
        <v>1.77016</v>
      </c>
      <c r="S103" s="871"/>
      <c r="T103" s="871"/>
      <c r="U103" s="873">
        <f t="shared" si="40"/>
        <v>2.6355599999999999</v>
      </c>
      <c r="V103" s="873">
        <f t="shared" si="42"/>
        <v>1.0620959999999999</v>
      </c>
      <c r="W103" s="873">
        <f t="shared" si="41"/>
        <v>7.757655999999999</v>
      </c>
      <c r="X103" s="1015">
        <f t="shared" si="29"/>
        <v>10783.141839999998</v>
      </c>
    </row>
    <row r="104" spans="1:24" ht="17.25" customHeight="1">
      <c r="A104" s="871"/>
      <c r="B104" s="871"/>
      <c r="C104" s="1363" t="s">
        <v>585</v>
      </c>
      <c r="D104" s="1363"/>
      <c r="E104" s="871"/>
      <c r="F104" s="872"/>
      <c r="G104" s="1025"/>
      <c r="H104" s="1025"/>
      <c r="I104" s="1026"/>
      <c r="J104" s="871"/>
      <c r="K104" s="871"/>
      <c r="L104" s="871"/>
      <c r="M104" s="871"/>
      <c r="N104" s="871"/>
      <c r="O104" s="871"/>
      <c r="P104" s="871"/>
      <c r="Q104" s="871"/>
      <c r="R104" s="873"/>
      <c r="S104" s="871"/>
      <c r="T104" s="871"/>
      <c r="U104" s="873"/>
      <c r="V104" s="873"/>
      <c r="W104" s="873"/>
      <c r="X104" s="1015"/>
    </row>
    <row r="105" spans="1:24" ht="17.25" customHeight="1">
      <c r="A105" s="871">
        <v>85</v>
      </c>
      <c r="B105" s="871">
        <v>1</v>
      </c>
      <c r="C105" s="869" t="s">
        <v>586</v>
      </c>
      <c r="D105" s="870">
        <v>24360</v>
      </c>
      <c r="E105" s="871" t="s">
        <v>34</v>
      </c>
      <c r="F105" s="874">
        <v>3.86</v>
      </c>
      <c r="G105" s="1028">
        <v>1</v>
      </c>
      <c r="H105" s="1028">
        <v>5</v>
      </c>
      <c r="I105" s="1028">
        <v>2018</v>
      </c>
      <c r="J105" s="871"/>
      <c r="K105" s="871"/>
      <c r="L105" s="871">
        <v>0.4</v>
      </c>
      <c r="M105" s="871">
        <v>0.3</v>
      </c>
      <c r="N105" s="871"/>
      <c r="O105" s="871"/>
      <c r="P105" s="871"/>
      <c r="Q105" s="871">
        <v>40</v>
      </c>
      <c r="R105" s="873">
        <f t="shared" ref="R105:R111" si="43">SUM(F105+K105+L105)*Q105%</f>
        <v>1.704</v>
      </c>
      <c r="S105" s="871"/>
      <c r="T105" s="871"/>
      <c r="U105" s="873">
        <f t="shared" ref="U105:U111" si="44">SUM(K105+L105+M105+N105+O105+P105+R105+S105+T105)</f>
        <v>2.4039999999999999</v>
      </c>
      <c r="V105" s="873">
        <f t="shared" si="42"/>
        <v>1.0224</v>
      </c>
      <c r="W105" s="873">
        <f t="shared" ref="W105:W111" si="45">SUM(F105+U105+V105)</f>
        <v>7.2863999999999995</v>
      </c>
      <c r="X105" s="1015">
        <f t="shared" si="29"/>
        <v>10128.096</v>
      </c>
    </row>
    <row r="106" spans="1:24" ht="17.25" customHeight="1">
      <c r="A106" s="871">
        <v>86</v>
      </c>
      <c r="B106" s="871">
        <v>2</v>
      </c>
      <c r="C106" s="869" t="s">
        <v>169</v>
      </c>
      <c r="D106" s="871" t="s">
        <v>587</v>
      </c>
      <c r="E106" s="871" t="s">
        <v>34</v>
      </c>
      <c r="F106" s="872">
        <v>3.86</v>
      </c>
      <c r="G106" s="1028">
        <v>1</v>
      </c>
      <c r="H106" s="1028">
        <v>5</v>
      </c>
      <c r="I106" s="1028">
        <v>2015</v>
      </c>
      <c r="J106" s="871"/>
      <c r="K106" s="871"/>
      <c r="L106" s="871">
        <v>0.3</v>
      </c>
      <c r="M106" s="871">
        <v>0.3</v>
      </c>
      <c r="N106" s="871"/>
      <c r="O106" s="871"/>
      <c r="P106" s="879"/>
      <c r="Q106" s="871">
        <v>40</v>
      </c>
      <c r="R106" s="873">
        <f t="shared" si="43"/>
        <v>1.6640000000000001</v>
      </c>
      <c r="S106" s="871"/>
      <c r="T106" s="871"/>
      <c r="U106" s="873">
        <f t="shared" si="44"/>
        <v>2.2640000000000002</v>
      </c>
      <c r="V106" s="873">
        <f t="shared" si="42"/>
        <v>0.99840000000000007</v>
      </c>
      <c r="W106" s="873">
        <f t="shared" si="45"/>
        <v>7.1224000000000007</v>
      </c>
      <c r="X106" s="1015">
        <f t="shared" si="29"/>
        <v>9900.1360000000004</v>
      </c>
    </row>
    <row r="107" spans="1:24" ht="17.25" customHeight="1">
      <c r="A107" s="871">
        <v>87</v>
      </c>
      <c r="B107" s="871">
        <v>3</v>
      </c>
      <c r="C107" s="869" t="s">
        <v>172</v>
      </c>
      <c r="D107" s="870">
        <v>32144</v>
      </c>
      <c r="E107" s="871" t="s">
        <v>173</v>
      </c>
      <c r="F107" s="872">
        <v>2.34</v>
      </c>
      <c r="G107" s="1028">
        <v>5</v>
      </c>
      <c r="H107" s="1028">
        <v>11</v>
      </c>
      <c r="I107" s="1028">
        <v>2015</v>
      </c>
      <c r="J107" s="871"/>
      <c r="K107" s="871"/>
      <c r="L107" s="871"/>
      <c r="M107" s="871">
        <v>0.3</v>
      </c>
      <c r="N107" s="871"/>
      <c r="O107" s="871"/>
      <c r="P107" s="879">
        <v>0.2</v>
      </c>
      <c r="Q107" s="871">
        <v>40</v>
      </c>
      <c r="R107" s="873">
        <f t="shared" si="43"/>
        <v>0.93599999999999994</v>
      </c>
      <c r="S107" s="871"/>
      <c r="T107" s="871"/>
      <c r="U107" s="873">
        <f t="shared" si="44"/>
        <v>1.4359999999999999</v>
      </c>
      <c r="V107" s="873">
        <f t="shared" si="42"/>
        <v>0.56159999999999999</v>
      </c>
      <c r="W107" s="873">
        <f t="shared" si="45"/>
        <v>4.3376000000000001</v>
      </c>
      <c r="X107" s="1015">
        <f t="shared" si="29"/>
        <v>6029.2640000000001</v>
      </c>
    </row>
    <row r="108" spans="1:24" ht="17.25" customHeight="1">
      <c r="A108" s="871">
        <v>88</v>
      </c>
      <c r="B108" s="871">
        <v>4</v>
      </c>
      <c r="C108" s="869" t="s">
        <v>401</v>
      </c>
      <c r="D108" s="870">
        <v>25634</v>
      </c>
      <c r="E108" s="871" t="s">
        <v>34</v>
      </c>
      <c r="F108" s="872">
        <v>4.0599999999999996</v>
      </c>
      <c r="G108" s="1028">
        <v>1</v>
      </c>
      <c r="H108" s="1028">
        <v>10</v>
      </c>
      <c r="I108" s="1028">
        <v>2015</v>
      </c>
      <c r="J108" s="871"/>
      <c r="K108" s="871"/>
      <c r="L108" s="871"/>
      <c r="M108" s="871">
        <v>0.3</v>
      </c>
      <c r="N108" s="871"/>
      <c r="O108" s="871"/>
      <c r="P108" s="879"/>
      <c r="Q108" s="871">
        <v>40</v>
      </c>
      <c r="R108" s="873">
        <f t="shared" si="43"/>
        <v>1.6239999999999999</v>
      </c>
      <c r="S108" s="871"/>
      <c r="T108" s="871"/>
      <c r="U108" s="873">
        <f t="shared" si="44"/>
        <v>1.9239999999999999</v>
      </c>
      <c r="V108" s="873">
        <f t="shared" si="42"/>
        <v>0.97439999999999993</v>
      </c>
      <c r="W108" s="873">
        <f t="shared" si="45"/>
        <v>6.9584000000000001</v>
      </c>
      <c r="X108" s="1015">
        <f t="shared" si="29"/>
        <v>9672.1759999999995</v>
      </c>
    </row>
    <row r="109" spans="1:24" ht="17.25" customHeight="1">
      <c r="A109" s="871">
        <v>89</v>
      </c>
      <c r="B109" s="871">
        <v>5</v>
      </c>
      <c r="C109" s="869" t="s">
        <v>548</v>
      </c>
      <c r="D109" s="870">
        <v>29992</v>
      </c>
      <c r="E109" s="871" t="s">
        <v>34</v>
      </c>
      <c r="F109" s="874">
        <v>2.86</v>
      </c>
      <c r="G109" s="1028">
        <v>2</v>
      </c>
      <c r="H109" s="1028">
        <v>6</v>
      </c>
      <c r="I109" s="1028">
        <v>2018</v>
      </c>
      <c r="J109" s="871"/>
      <c r="K109" s="871"/>
      <c r="L109" s="871"/>
      <c r="M109" s="871">
        <v>0.3</v>
      </c>
      <c r="N109" s="871"/>
      <c r="O109" s="871"/>
      <c r="P109" s="879"/>
      <c r="Q109" s="871">
        <v>40</v>
      </c>
      <c r="R109" s="873">
        <f t="shared" si="43"/>
        <v>1.1439999999999999</v>
      </c>
      <c r="S109" s="871"/>
      <c r="T109" s="871"/>
      <c r="U109" s="873">
        <f t="shared" si="44"/>
        <v>1.444</v>
      </c>
      <c r="V109" s="873">
        <f t="shared" si="42"/>
        <v>0.68640000000000001</v>
      </c>
      <c r="W109" s="873">
        <f t="shared" si="45"/>
        <v>4.9904000000000002</v>
      </c>
      <c r="X109" s="1015">
        <f t="shared" si="29"/>
        <v>6936.6559999999999</v>
      </c>
    </row>
    <row r="110" spans="1:24" ht="17.25" customHeight="1">
      <c r="A110" s="871">
        <v>90</v>
      </c>
      <c r="B110" s="871">
        <v>6</v>
      </c>
      <c r="C110" s="869" t="s">
        <v>399</v>
      </c>
      <c r="D110" s="871" t="s">
        <v>588</v>
      </c>
      <c r="E110" s="871" t="s">
        <v>34</v>
      </c>
      <c r="F110" s="872">
        <v>2.66</v>
      </c>
      <c r="G110" s="1028">
        <v>2</v>
      </c>
      <c r="H110" s="1028">
        <v>12</v>
      </c>
      <c r="I110" s="1028">
        <v>2018</v>
      </c>
      <c r="J110" s="871"/>
      <c r="K110" s="871"/>
      <c r="L110" s="871"/>
      <c r="M110" s="871">
        <v>0.3</v>
      </c>
      <c r="N110" s="871"/>
      <c r="O110" s="871"/>
      <c r="P110" s="879"/>
      <c r="Q110" s="871">
        <v>40</v>
      </c>
      <c r="R110" s="873">
        <f t="shared" si="43"/>
        <v>1.0640000000000001</v>
      </c>
      <c r="S110" s="871"/>
      <c r="T110" s="871"/>
      <c r="U110" s="873">
        <f t="shared" si="44"/>
        <v>1.3640000000000001</v>
      </c>
      <c r="V110" s="873">
        <f t="shared" si="42"/>
        <v>0.63840000000000008</v>
      </c>
      <c r="W110" s="873">
        <f t="shared" si="45"/>
        <v>4.6623999999999999</v>
      </c>
      <c r="X110" s="1015">
        <f t="shared" si="29"/>
        <v>6480.7359999999999</v>
      </c>
    </row>
    <row r="111" spans="1:24" ht="17.25" customHeight="1">
      <c r="A111" s="871">
        <v>91</v>
      </c>
      <c r="B111" s="871">
        <v>7</v>
      </c>
      <c r="C111" s="869" t="s">
        <v>589</v>
      </c>
      <c r="D111" s="870">
        <v>33202</v>
      </c>
      <c r="E111" s="871" t="s">
        <v>34</v>
      </c>
      <c r="F111" s="874">
        <v>2.46</v>
      </c>
      <c r="G111" s="1028">
        <v>13</v>
      </c>
      <c r="H111" s="1028">
        <v>4</v>
      </c>
      <c r="I111" s="1028">
        <v>2018</v>
      </c>
      <c r="J111" s="871"/>
      <c r="K111" s="871"/>
      <c r="L111" s="871"/>
      <c r="M111" s="871">
        <v>0.3</v>
      </c>
      <c r="N111" s="871"/>
      <c r="O111" s="871"/>
      <c r="P111" s="879"/>
      <c r="Q111" s="871">
        <v>40</v>
      </c>
      <c r="R111" s="873">
        <f t="shared" si="43"/>
        <v>0.98399999999999999</v>
      </c>
      <c r="S111" s="871"/>
      <c r="T111" s="871"/>
      <c r="U111" s="873">
        <f t="shared" si="44"/>
        <v>1.284</v>
      </c>
      <c r="V111" s="873">
        <f t="shared" si="42"/>
        <v>0.59040000000000004</v>
      </c>
      <c r="W111" s="873">
        <f t="shared" si="45"/>
        <v>4.3343999999999996</v>
      </c>
      <c r="X111" s="1015">
        <f t="shared" si="29"/>
        <v>6024.8159999999998</v>
      </c>
    </row>
    <row r="112" spans="1:24" ht="17.25" customHeight="1">
      <c r="A112" s="871"/>
      <c r="B112" s="871"/>
      <c r="C112" s="1353" t="s">
        <v>590</v>
      </c>
      <c r="D112" s="1353"/>
      <c r="E112" s="871"/>
      <c r="F112" s="874"/>
      <c r="G112" s="1025"/>
      <c r="H112" s="1025"/>
      <c r="I112" s="1026"/>
      <c r="J112" s="871"/>
      <c r="K112" s="871"/>
      <c r="L112" s="871"/>
      <c r="M112" s="871"/>
      <c r="N112" s="871"/>
      <c r="O112" s="871"/>
      <c r="P112" s="879"/>
      <c r="Q112" s="871"/>
      <c r="R112" s="873"/>
      <c r="S112" s="871"/>
      <c r="T112" s="871"/>
      <c r="U112" s="873"/>
      <c r="V112" s="873"/>
      <c r="W112" s="873"/>
      <c r="X112" s="1015"/>
    </row>
    <row r="113" spans="1:26" ht="17.25" customHeight="1">
      <c r="A113" s="871">
        <v>92</v>
      </c>
      <c r="B113" s="871">
        <v>1</v>
      </c>
      <c r="C113" s="869" t="s">
        <v>289</v>
      </c>
      <c r="D113" s="871" t="s">
        <v>290</v>
      </c>
      <c r="E113" s="871" t="s">
        <v>31</v>
      </c>
      <c r="F113" s="872">
        <v>4.9800000000000004</v>
      </c>
      <c r="G113" s="1028">
        <v>1</v>
      </c>
      <c r="H113" s="1028">
        <v>11</v>
      </c>
      <c r="I113" s="1028">
        <v>2018</v>
      </c>
      <c r="J113" s="871"/>
      <c r="K113" s="871"/>
      <c r="L113" s="871">
        <v>0.4</v>
      </c>
      <c r="M113" s="871">
        <v>0.3</v>
      </c>
      <c r="N113" s="871"/>
      <c r="O113" s="871"/>
      <c r="P113" s="871"/>
      <c r="Q113" s="871">
        <v>70</v>
      </c>
      <c r="R113" s="873">
        <f>SUM(F113+K113+L113)*Q113%</f>
        <v>3.7660000000000005</v>
      </c>
      <c r="S113" s="871"/>
      <c r="T113" s="871"/>
      <c r="U113" s="873">
        <f>SUM(K113+L113+M113+N113+O113+P113+R113+S113+T113)</f>
        <v>4.4660000000000002</v>
      </c>
      <c r="V113" s="873">
        <f t="shared" si="42"/>
        <v>1.2912000000000001</v>
      </c>
      <c r="W113" s="873">
        <f>SUM(F113+U113+V113)</f>
        <v>10.737200000000001</v>
      </c>
      <c r="X113" s="1015">
        <f t="shared" si="29"/>
        <v>14924.708000000002</v>
      </c>
    </row>
    <row r="114" spans="1:26" ht="17.25" customHeight="1">
      <c r="A114" s="871">
        <v>93</v>
      </c>
      <c r="B114" s="871">
        <v>2</v>
      </c>
      <c r="C114" s="869" t="s">
        <v>291</v>
      </c>
      <c r="D114" s="870">
        <v>32552</v>
      </c>
      <c r="E114" s="871" t="s">
        <v>29</v>
      </c>
      <c r="F114" s="874">
        <v>2.46</v>
      </c>
      <c r="G114" s="1028">
        <v>13</v>
      </c>
      <c r="H114" s="1028">
        <v>4</v>
      </c>
      <c r="I114" s="1028">
        <v>2018</v>
      </c>
      <c r="J114" s="871"/>
      <c r="K114" s="871"/>
      <c r="L114" s="871"/>
      <c r="M114" s="871">
        <v>0.3</v>
      </c>
      <c r="N114" s="871"/>
      <c r="O114" s="871"/>
      <c r="P114" s="871"/>
      <c r="Q114" s="871">
        <v>70</v>
      </c>
      <c r="R114" s="873">
        <f>SUM(F114+K114+L114)*Q114%</f>
        <v>1.722</v>
      </c>
      <c r="S114" s="871"/>
      <c r="T114" s="871"/>
      <c r="U114" s="873">
        <f>SUM(K114+L114+M114+N114+O114+P114+R114+S114+T114)</f>
        <v>2.0219999999999998</v>
      </c>
      <c r="V114" s="873">
        <f t="shared" si="42"/>
        <v>0.59040000000000004</v>
      </c>
      <c r="W114" s="873">
        <f>SUM(F114+U114+V114)</f>
        <v>5.0723999999999991</v>
      </c>
      <c r="X114" s="1015">
        <f t="shared" si="29"/>
        <v>7050.6359999999986</v>
      </c>
    </row>
    <row r="115" spans="1:26" ht="17.25" customHeight="1">
      <c r="A115" s="871">
        <v>94</v>
      </c>
      <c r="B115" s="871">
        <v>3</v>
      </c>
      <c r="C115" s="869" t="s">
        <v>292</v>
      </c>
      <c r="D115" s="871" t="s">
        <v>293</v>
      </c>
      <c r="E115" s="871" t="s">
        <v>38</v>
      </c>
      <c r="F115" s="872">
        <v>2.66</v>
      </c>
      <c r="G115" s="1028">
        <v>2</v>
      </c>
      <c r="H115" s="1028">
        <v>12</v>
      </c>
      <c r="I115" s="1028">
        <v>2018</v>
      </c>
      <c r="J115" s="871"/>
      <c r="K115" s="871"/>
      <c r="L115" s="871"/>
      <c r="M115" s="871">
        <v>0.3</v>
      </c>
      <c r="N115" s="871"/>
      <c r="O115" s="871"/>
      <c r="P115" s="871"/>
      <c r="Q115" s="871">
        <v>70</v>
      </c>
      <c r="R115" s="873">
        <f>SUM(F115+K115+L115)*Q115%</f>
        <v>1.8619999999999999</v>
      </c>
      <c r="S115" s="871"/>
      <c r="T115" s="871"/>
      <c r="U115" s="873">
        <f>SUM(K115+L115+M115+N115+O115+P115+R115+S115+T115)</f>
        <v>2.1619999999999999</v>
      </c>
      <c r="V115" s="873">
        <f t="shared" si="42"/>
        <v>0.63840000000000008</v>
      </c>
      <c r="W115" s="873">
        <f>SUM(F115+U115+V115)</f>
        <v>5.4603999999999999</v>
      </c>
      <c r="X115" s="1015">
        <f t="shared" si="29"/>
        <v>7589.9560000000001</v>
      </c>
    </row>
    <row r="116" spans="1:26" ht="17.25" customHeight="1">
      <c r="A116" s="871">
        <v>95</v>
      </c>
      <c r="B116" s="871">
        <v>4</v>
      </c>
      <c r="C116" s="869" t="s">
        <v>294</v>
      </c>
      <c r="D116" s="871" t="s">
        <v>295</v>
      </c>
      <c r="E116" s="871" t="s">
        <v>29</v>
      </c>
      <c r="F116" s="872">
        <v>4.0599999999999996</v>
      </c>
      <c r="G116" s="1028">
        <v>1</v>
      </c>
      <c r="H116" s="1028">
        <v>12</v>
      </c>
      <c r="I116" s="1028">
        <v>2015</v>
      </c>
      <c r="J116" s="871"/>
      <c r="K116" s="871"/>
      <c r="L116" s="871"/>
      <c r="M116" s="871">
        <v>0.3</v>
      </c>
      <c r="N116" s="871"/>
      <c r="O116" s="871"/>
      <c r="P116" s="871"/>
      <c r="Q116" s="871">
        <v>40</v>
      </c>
      <c r="R116" s="873">
        <f>SUM(F116+K116+L116)*Q116%</f>
        <v>1.6239999999999999</v>
      </c>
      <c r="S116" s="871"/>
      <c r="T116" s="871"/>
      <c r="U116" s="873">
        <f>SUM(K116+L116+M116+N116+O116+P116+R116+S116+T116)</f>
        <v>1.9239999999999999</v>
      </c>
      <c r="V116" s="873">
        <f t="shared" si="42"/>
        <v>0.97439999999999993</v>
      </c>
      <c r="W116" s="873">
        <f>SUM(F116+U116+V116)</f>
        <v>6.9584000000000001</v>
      </c>
      <c r="X116" s="1015">
        <f t="shared" si="29"/>
        <v>9672.1759999999995</v>
      </c>
    </row>
    <row r="117" spans="1:26" ht="17.25" customHeight="1">
      <c r="A117" s="871"/>
      <c r="B117" s="871"/>
      <c r="C117" s="886"/>
      <c r="D117" s="886"/>
      <c r="E117" s="886"/>
      <c r="F117" s="885">
        <f>SUM(F11:F116)</f>
        <v>302.91000000000014</v>
      </c>
      <c r="G117" s="1025"/>
      <c r="H117" s="1025"/>
      <c r="I117" s="1026"/>
      <c r="J117" s="886">
        <f t="shared" ref="J117:P117" si="46">SUM(J11:J116)</f>
        <v>110</v>
      </c>
      <c r="K117" s="887">
        <f t="shared" si="46"/>
        <v>4.4660000000000002</v>
      </c>
      <c r="L117" s="888">
        <f t="shared" si="46"/>
        <v>9.6000000000000014</v>
      </c>
      <c r="M117" s="888">
        <f t="shared" si="46"/>
        <v>28.500000000000046</v>
      </c>
      <c r="N117" s="888">
        <f t="shared" si="46"/>
        <v>2.7</v>
      </c>
      <c r="O117" s="886">
        <f t="shared" si="46"/>
        <v>0</v>
      </c>
      <c r="P117" s="888">
        <f t="shared" si="46"/>
        <v>7.1000000000000023</v>
      </c>
      <c r="Q117" s="886"/>
      <c r="R117" s="885">
        <f t="shared" ref="R117:X117" si="47">SUM(R11:R116)</f>
        <v>139.3114799999999</v>
      </c>
      <c r="S117" s="886">
        <f t="shared" si="47"/>
        <v>0.18</v>
      </c>
      <c r="T117" s="886">
        <f t="shared" si="47"/>
        <v>0</v>
      </c>
      <c r="U117" s="885">
        <f t="shared" si="47"/>
        <v>191.85748000000004</v>
      </c>
      <c r="V117" s="873">
        <f t="shared" si="47"/>
        <v>76.02054000000004</v>
      </c>
      <c r="W117" s="885">
        <f t="shared" si="47"/>
        <v>570.78802000000007</v>
      </c>
      <c r="X117" s="1017">
        <f t="shared" si="47"/>
        <v>793395.34780000011</v>
      </c>
    </row>
    <row r="118" spans="1:26" ht="17.25" customHeight="1">
      <c r="A118" s="871"/>
      <c r="B118" s="871"/>
      <c r="C118" s="1364" t="s">
        <v>591</v>
      </c>
      <c r="D118" s="1364"/>
      <c r="E118" s="871"/>
      <c r="F118" s="872"/>
      <c r="G118" s="1025"/>
      <c r="H118" s="1025"/>
      <c r="I118" s="1026"/>
      <c r="J118" s="871"/>
      <c r="K118" s="889"/>
      <c r="L118" s="871"/>
      <c r="M118" s="871"/>
      <c r="N118" s="871"/>
      <c r="O118" s="871"/>
      <c r="P118" s="871"/>
      <c r="Q118" s="871"/>
      <c r="R118" s="873"/>
      <c r="S118" s="871"/>
      <c r="T118" s="871"/>
      <c r="U118" s="873"/>
      <c r="V118" s="873"/>
      <c r="W118" s="873"/>
      <c r="X118" s="1018"/>
    </row>
    <row r="119" spans="1:26" ht="17.25" customHeight="1">
      <c r="A119" s="871"/>
      <c r="B119" s="871"/>
      <c r="C119" s="1365" t="s">
        <v>592</v>
      </c>
      <c r="D119" s="1365"/>
      <c r="E119" s="871"/>
      <c r="F119" s="872"/>
      <c r="G119" s="1025"/>
      <c r="H119" s="1025"/>
      <c r="I119" s="1026"/>
      <c r="J119" s="871"/>
      <c r="K119" s="889"/>
      <c r="L119" s="871"/>
      <c r="M119" s="871"/>
      <c r="N119" s="871"/>
      <c r="O119" s="871"/>
      <c r="P119" s="871"/>
      <c r="Q119" s="871"/>
      <c r="R119" s="873"/>
      <c r="S119" s="871"/>
      <c r="T119" s="871"/>
      <c r="U119" s="873"/>
      <c r="V119" s="873"/>
      <c r="W119" s="873"/>
      <c r="X119" s="1018"/>
    </row>
    <row r="120" spans="1:26" ht="17.25" customHeight="1">
      <c r="A120" s="871">
        <v>96</v>
      </c>
      <c r="B120" s="1009">
        <v>1</v>
      </c>
      <c r="C120" s="869" t="s">
        <v>593</v>
      </c>
      <c r="D120" s="870">
        <v>24119</v>
      </c>
      <c r="E120" s="871" t="s">
        <v>60</v>
      </c>
      <c r="F120" s="872">
        <v>4.9800000000000004</v>
      </c>
      <c r="G120" s="1032" t="s">
        <v>631</v>
      </c>
      <c r="H120" s="1032" t="s">
        <v>631</v>
      </c>
      <c r="I120" s="1033">
        <v>2018</v>
      </c>
      <c r="J120" s="871"/>
      <c r="K120" s="889"/>
      <c r="L120" s="871">
        <v>0.5</v>
      </c>
      <c r="M120" s="871">
        <v>0.3</v>
      </c>
      <c r="N120" s="871"/>
      <c r="O120" s="871"/>
      <c r="P120" s="871">
        <v>0.2</v>
      </c>
      <c r="Q120" s="871">
        <v>40</v>
      </c>
      <c r="R120" s="873">
        <f>SUM(F120+K120+L120)*Q120%</f>
        <v>2.1920000000000002</v>
      </c>
      <c r="S120" s="871"/>
      <c r="T120" s="871">
        <v>0.4</v>
      </c>
      <c r="U120" s="873">
        <f>SUM(K120+L120+M120+N120+O120+P120+R120+S120+T120)</f>
        <v>3.5920000000000001</v>
      </c>
      <c r="V120" s="873">
        <f t="shared" si="42"/>
        <v>1.3152000000000001</v>
      </c>
      <c r="W120" s="873">
        <f>SUM(F120+U120+V120)</f>
        <v>9.8872000000000018</v>
      </c>
      <c r="X120" s="1018">
        <f>SUM(W120)*1390</f>
        <v>13743.208000000002</v>
      </c>
    </row>
    <row r="121" spans="1:26" ht="17.25" customHeight="1">
      <c r="A121" s="871"/>
      <c r="B121" s="1010"/>
      <c r="C121" s="1341" t="s">
        <v>503</v>
      </c>
      <c r="D121" s="1341"/>
      <c r="E121" s="871"/>
      <c r="F121" s="872"/>
      <c r="G121" s="1025"/>
      <c r="H121" s="1025"/>
      <c r="I121" s="1026"/>
      <c r="J121" s="871"/>
      <c r="K121" s="889"/>
      <c r="L121" s="871"/>
      <c r="M121" s="871"/>
      <c r="N121" s="871"/>
      <c r="O121" s="871"/>
      <c r="P121" s="871"/>
      <c r="Q121" s="871"/>
      <c r="R121" s="873"/>
      <c r="S121" s="871"/>
      <c r="T121" s="871"/>
      <c r="U121" s="873"/>
      <c r="V121" s="873"/>
      <c r="W121" s="873"/>
      <c r="X121" s="1018"/>
    </row>
    <row r="122" spans="1:26" ht="17.25" customHeight="1">
      <c r="A122" s="871">
        <v>97</v>
      </c>
      <c r="B122" s="871">
        <v>1</v>
      </c>
      <c r="C122" s="869" t="s">
        <v>594</v>
      </c>
      <c r="D122" s="870" t="s">
        <v>595</v>
      </c>
      <c r="E122" s="871" t="s">
        <v>596</v>
      </c>
      <c r="F122" s="872">
        <v>3</v>
      </c>
      <c r="G122" s="1025" t="s">
        <v>631</v>
      </c>
      <c r="H122" s="1025" t="s">
        <v>637</v>
      </c>
      <c r="I122" s="1026">
        <v>2018</v>
      </c>
      <c r="J122" s="871"/>
      <c r="K122" s="889"/>
      <c r="L122" s="871">
        <v>0.3</v>
      </c>
      <c r="M122" s="871">
        <v>0.3</v>
      </c>
      <c r="N122" s="871"/>
      <c r="O122" s="871"/>
      <c r="P122" s="871"/>
      <c r="Q122" s="871"/>
      <c r="R122" s="873"/>
      <c r="S122" s="871"/>
      <c r="T122" s="871"/>
      <c r="U122" s="873">
        <f t="shared" ref="U122:U127" si="48">SUM(K122+L122+M122+N122+O122+P122+R122+S122+T122)</f>
        <v>0.6</v>
      </c>
      <c r="V122" s="873">
        <f t="shared" si="42"/>
        <v>0.79199999999999993</v>
      </c>
      <c r="W122" s="873">
        <f t="shared" ref="W122:W127" si="49">SUM(F122+U122+V122)</f>
        <v>4.3920000000000003</v>
      </c>
      <c r="X122" s="1018">
        <f t="shared" ref="X122:X161" si="50">SUM(W122)*1390</f>
        <v>6104.88</v>
      </c>
    </row>
    <row r="123" spans="1:26" ht="17.25" customHeight="1">
      <c r="A123" s="871">
        <v>98</v>
      </c>
      <c r="B123" s="871">
        <v>2</v>
      </c>
      <c r="C123" s="869" t="s">
        <v>175</v>
      </c>
      <c r="D123" s="870">
        <v>32005</v>
      </c>
      <c r="E123" s="871" t="s">
        <v>176</v>
      </c>
      <c r="F123" s="872">
        <v>2.72</v>
      </c>
      <c r="G123" s="1025" t="s">
        <v>631</v>
      </c>
      <c r="H123" s="1034" t="s">
        <v>636</v>
      </c>
      <c r="I123" s="1026">
        <v>2017</v>
      </c>
      <c r="J123" s="871"/>
      <c r="K123" s="889"/>
      <c r="L123" s="871"/>
      <c r="M123" s="871">
        <v>0.3</v>
      </c>
      <c r="N123" s="871"/>
      <c r="O123" s="871"/>
      <c r="P123" s="871"/>
      <c r="Q123" s="871"/>
      <c r="R123" s="873"/>
      <c r="S123" s="871"/>
      <c r="T123" s="871"/>
      <c r="U123" s="873">
        <f t="shared" si="48"/>
        <v>0.3</v>
      </c>
      <c r="V123" s="873">
        <f t="shared" si="42"/>
        <v>0.65280000000000005</v>
      </c>
      <c r="W123" s="873">
        <f t="shared" si="49"/>
        <v>3.6728000000000001</v>
      </c>
      <c r="X123" s="1018">
        <f t="shared" si="50"/>
        <v>5105.192</v>
      </c>
    </row>
    <row r="124" spans="1:26" ht="17.25" customHeight="1">
      <c r="A124" s="871">
        <v>99</v>
      </c>
      <c r="B124" s="871">
        <v>3</v>
      </c>
      <c r="C124" s="869" t="s">
        <v>48</v>
      </c>
      <c r="D124" s="870">
        <v>25802</v>
      </c>
      <c r="E124" s="871" t="s">
        <v>29</v>
      </c>
      <c r="F124" s="874">
        <v>3.46</v>
      </c>
      <c r="G124" s="1025" t="s">
        <v>633</v>
      </c>
      <c r="H124" s="1025" t="s">
        <v>631</v>
      </c>
      <c r="I124" s="1026">
        <v>2018</v>
      </c>
      <c r="J124" s="871"/>
      <c r="K124" s="889"/>
      <c r="L124" s="871">
        <v>0.3</v>
      </c>
      <c r="M124" s="871">
        <v>0.3</v>
      </c>
      <c r="N124" s="871"/>
      <c r="O124" s="871"/>
      <c r="P124" s="871"/>
      <c r="Q124" s="871">
        <v>40</v>
      </c>
      <c r="R124" s="873">
        <f>SUM(F124+K124+L124)*Q124%</f>
        <v>1.504</v>
      </c>
      <c r="S124" s="871"/>
      <c r="T124" s="871"/>
      <c r="U124" s="873">
        <f t="shared" si="48"/>
        <v>2.1040000000000001</v>
      </c>
      <c r="V124" s="873">
        <f t="shared" si="42"/>
        <v>0.90239999999999998</v>
      </c>
      <c r="W124" s="873">
        <f t="shared" si="49"/>
        <v>6.4664000000000001</v>
      </c>
      <c r="X124" s="1018">
        <f t="shared" si="50"/>
        <v>8988.2960000000003</v>
      </c>
    </row>
    <row r="125" spans="1:26" ht="17.25" customHeight="1">
      <c r="A125" s="871">
        <v>100</v>
      </c>
      <c r="B125" s="871">
        <v>4</v>
      </c>
      <c r="C125" s="869" t="s">
        <v>597</v>
      </c>
      <c r="D125" s="870">
        <v>30189</v>
      </c>
      <c r="E125" s="871" t="s">
        <v>60</v>
      </c>
      <c r="F125" s="872">
        <v>3.33</v>
      </c>
      <c r="G125" s="1025" t="s">
        <v>631</v>
      </c>
      <c r="H125" s="1025" t="s">
        <v>638</v>
      </c>
      <c r="I125" s="1026">
        <v>2017</v>
      </c>
      <c r="J125" s="871"/>
      <c r="K125" s="889"/>
      <c r="L125" s="871">
        <v>0.4</v>
      </c>
      <c r="M125" s="871">
        <v>0.3</v>
      </c>
      <c r="N125" s="871"/>
      <c r="O125" s="871"/>
      <c r="P125" s="871"/>
      <c r="Q125" s="871">
        <v>40</v>
      </c>
      <c r="R125" s="873">
        <f>SUM(F125+K125+L125)*Q125%</f>
        <v>1.492</v>
      </c>
      <c r="S125" s="871"/>
      <c r="T125" s="878"/>
      <c r="U125" s="873">
        <f t="shared" si="48"/>
        <v>2.1920000000000002</v>
      </c>
      <c r="V125" s="873">
        <f t="shared" si="42"/>
        <v>0.8952</v>
      </c>
      <c r="W125" s="873">
        <f t="shared" si="49"/>
        <v>6.4172000000000002</v>
      </c>
      <c r="X125" s="1018">
        <f t="shared" si="50"/>
        <v>8919.9079999999994</v>
      </c>
      <c r="Y125" s="13"/>
      <c r="Z125" s="13"/>
    </row>
    <row r="126" spans="1:26" ht="17.25" customHeight="1">
      <c r="A126" s="871">
        <v>101</v>
      </c>
      <c r="B126" s="871">
        <v>5</v>
      </c>
      <c r="C126" s="869" t="s">
        <v>598</v>
      </c>
      <c r="D126" s="870">
        <v>29955</v>
      </c>
      <c r="E126" s="871" t="s">
        <v>34</v>
      </c>
      <c r="F126" s="872">
        <v>2.86</v>
      </c>
      <c r="G126" s="1025" t="s">
        <v>631</v>
      </c>
      <c r="H126" s="1025" t="s">
        <v>638</v>
      </c>
      <c r="I126" s="1026">
        <v>2018</v>
      </c>
      <c r="J126" s="871"/>
      <c r="K126" s="889"/>
      <c r="L126" s="871"/>
      <c r="M126" s="871">
        <v>0.3</v>
      </c>
      <c r="N126" s="871"/>
      <c r="O126" s="871"/>
      <c r="P126" s="879"/>
      <c r="Q126" s="871">
        <v>40</v>
      </c>
      <c r="R126" s="873">
        <f>SUM(F126+K126+L126)*Q126%</f>
        <v>1.1439999999999999</v>
      </c>
      <c r="S126" s="871"/>
      <c r="T126" s="879"/>
      <c r="U126" s="873">
        <f t="shared" si="48"/>
        <v>1.444</v>
      </c>
      <c r="V126" s="873">
        <f t="shared" si="42"/>
        <v>0.68640000000000001</v>
      </c>
      <c r="W126" s="873">
        <f t="shared" si="49"/>
        <v>4.9904000000000002</v>
      </c>
      <c r="X126" s="1018">
        <f t="shared" si="50"/>
        <v>6936.6559999999999</v>
      </c>
      <c r="Y126" s="13"/>
      <c r="Z126" s="13"/>
    </row>
    <row r="127" spans="1:26" ht="17.25" customHeight="1">
      <c r="A127" s="871">
        <v>102</v>
      </c>
      <c r="B127" s="871">
        <v>6</v>
      </c>
      <c r="C127" s="869" t="s">
        <v>182</v>
      </c>
      <c r="D127" s="870">
        <v>31853</v>
      </c>
      <c r="E127" s="871" t="s">
        <v>34</v>
      </c>
      <c r="F127" s="872">
        <v>2.46</v>
      </c>
      <c r="G127" s="1025" t="s">
        <v>631</v>
      </c>
      <c r="H127" s="1025" t="s">
        <v>642</v>
      </c>
      <c r="I127" s="1026">
        <v>2017</v>
      </c>
      <c r="J127" s="871"/>
      <c r="K127" s="889"/>
      <c r="L127" s="871"/>
      <c r="M127" s="871">
        <v>0.3</v>
      </c>
      <c r="N127" s="871"/>
      <c r="O127" s="871"/>
      <c r="P127" s="879"/>
      <c r="Q127" s="871">
        <v>40</v>
      </c>
      <c r="R127" s="873">
        <f>SUM(F127+K127+L127)*Q127%</f>
        <v>0.98399999999999999</v>
      </c>
      <c r="S127" s="871"/>
      <c r="T127" s="871"/>
      <c r="U127" s="873">
        <f t="shared" si="48"/>
        <v>1.284</v>
      </c>
      <c r="V127" s="873">
        <f t="shared" si="42"/>
        <v>0.59040000000000004</v>
      </c>
      <c r="W127" s="873">
        <f t="shared" si="49"/>
        <v>4.3343999999999996</v>
      </c>
      <c r="X127" s="1018">
        <f t="shared" si="50"/>
        <v>6024.8159999999998</v>
      </c>
    </row>
    <row r="128" spans="1:26" ht="17.25" customHeight="1">
      <c r="A128" s="871"/>
      <c r="B128" s="871"/>
      <c r="C128" s="1353" t="s">
        <v>599</v>
      </c>
      <c r="D128" s="1353"/>
      <c r="E128" s="871"/>
      <c r="F128" s="872"/>
      <c r="G128" s="1025"/>
      <c r="H128" s="1025"/>
      <c r="I128" s="1026"/>
      <c r="J128" s="871"/>
      <c r="K128" s="889"/>
      <c r="L128" s="871"/>
      <c r="M128" s="871"/>
      <c r="N128" s="871"/>
      <c r="O128" s="871"/>
      <c r="P128" s="879"/>
      <c r="Q128" s="871"/>
      <c r="R128" s="873"/>
      <c r="S128" s="871"/>
      <c r="T128" s="871"/>
      <c r="U128" s="873"/>
      <c r="V128" s="873"/>
      <c r="W128" s="873"/>
      <c r="X128" s="1018"/>
    </row>
    <row r="129" spans="1:26" ht="17.25" customHeight="1">
      <c r="A129" s="871">
        <v>103</v>
      </c>
      <c r="B129" s="871">
        <v>1</v>
      </c>
      <c r="C129" s="869" t="s">
        <v>600</v>
      </c>
      <c r="D129" s="870">
        <v>33848</v>
      </c>
      <c r="E129" s="871" t="s">
        <v>31</v>
      </c>
      <c r="F129" s="874">
        <v>2.34</v>
      </c>
      <c r="G129" s="1025" t="s">
        <v>631</v>
      </c>
      <c r="H129" s="1025" t="s">
        <v>632</v>
      </c>
      <c r="I129" s="1026">
        <v>2018</v>
      </c>
      <c r="J129" s="871"/>
      <c r="K129" s="889"/>
      <c r="L129" s="871"/>
      <c r="M129" s="871">
        <v>0.3</v>
      </c>
      <c r="N129" s="871"/>
      <c r="O129" s="871"/>
      <c r="P129" s="871">
        <v>0.2</v>
      </c>
      <c r="Q129" s="871">
        <v>40</v>
      </c>
      <c r="R129" s="873">
        <f t="shared" ref="R129:R135" si="51">SUM(F129+K129+L129)*Q129%</f>
        <v>0.93599999999999994</v>
      </c>
      <c r="S129" s="871"/>
      <c r="T129" s="871">
        <v>0.4</v>
      </c>
      <c r="U129" s="873">
        <f t="shared" ref="U129:U135" si="52">SUM(K129+L129+M129+N129+O129+P129+R129+S129+T129)</f>
        <v>1.8359999999999999</v>
      </c>
      <c r="V129" s="873">
        <f t="shared" si="42"/>
        <v>0.56159999999999999</v>
      </c>
      <c r="W129" s="873">
        <f t="shared" ref="W129:W135" si="53">SUM(F129+U129+V129)</f>
        <v>4.7376000000000005</v>
      </c>
      <c r="X129" s="1018">
        <f>SUM(W129)*1390</f>
        <v>6585.264000000001</v>
      </c>
    </row>
    <row r="130" spans="1:26" ht="17.25" customHeight="1">
      <c r="A130" s="871">
        <v>104</v>
      </c>
      <c r="B130" s="871">
        <v>2</v>
      </c>
      <c r="C130" s="869" t="s">
        <v>601</v>
      </c>
      <c r="D130" s="870">
        <v>25017</v>
      </c>
      <c r="E130" s="871" t="s">
        <v>29</v>
      </c>
      <c r="F130" s="872">
        <v>4.0599999999999996</v>
      </c>
      <c r="G130" s="1025" t="s">
        <v>631</v>
      </c>
      <c r="H130" s="1025" t="s">
        <v>637</v>
      </c>
      <c r="I130" s="1026">
        <v>2018</v>
      </c>
      <c r="J130" s="871">
        <v>9</v>
      </c>
      <c r="K130" s="889">
        <f t="shared" ref="K130:K159" si="54">SUM(F130)*J130%</f>
        <v>0.36539999999999995</v>
      </c>
      <c r="L130" s="871">
        <v>0.3</v>
      </c>
      <c r="M130" s="871">
        <v>0.3</v>
      </c>
      <c r="N130" s="871"/>
      <c r="O130" s="871"/>
      <c r="P130" s="871">
        <v>0.2</v>
      </c>
      <c r="Q130" s="871">
        <v>40</v>
      </c>
      <c r="R130" s="873">
        <f t="shared" si="51"/>
        <v>1.8901599999999998</v>
      </c>
      <c r="S130" s="871"/>
      <c r="T130" s="871">
        <v>0.4</v>
      </c>
      <c r="U130" s="873">
        <f t="shared" si="52"/>
        <v>3.4555599999999997</v>
      </c>
      <c r="V130" s="873">
        <f t="shared" si="42"/>
        <v>1.1340959999999998</v>
      </c>
      <c r="W130" s="873">
        <f t="shared" si="53"/>
        <v>8.6496559999999985</v>
      </c>
      <c r="X130" s="1018">
        <f t="shared" si="50"/>
        <v>12023.021839999998</v>
      </c>
    </row>
    <row r="131" spans="1:26" ht="17.25" customHeight="1">
      <c r="A131" s="871">
        <v>105</v>
      </c>
      <c r="B131" s="871">
        <v>3</v>
      </c>
      <c r="C131" s="869" t="s">
        <v>602</v>
      </c>
      <c r="D131" s="870">
        <v>25007</v>
      </c>
      <c r="E131" s="871" t="s">
        <v>29</v>
      </c>
      <c r="F131" s="872">
        <v>4.0599999999999996</v>
      </c>
      <c r="G131" s="1025" t="s">
        <v>631</v>
      </c>
      <c r="H131" s="1025" t="s">
        <v>637</v>
      </c>
      <c r="I131" s="1026">
        <v>2018</v>
      </c>
      <c r="J131" s="871">
        <v>9</v>
      </c>
      <c r="K131" s="889">
        <f t="shared" si="54"/>
        <v>0.36539999999999995</v>
      </c>
      <c r="L131" s="871"/>
      <c r="M131" s="871">
        <v>0.3</v>
      </c>
      <c r="N131" s="871"/>
      <c r="O131" s="871"/>
      <c r="P131" s="871">
        <v>0.2</v>
      </c>
      <c r="Q131" s="871">
        <v>40</v>
      </c>
      <c r="R131" s="873">
        <f t="shared" si="51"/>
        <v>1.77016</v>
      </c>
      <c r="S131" s="871"/>
      <c r="T131" s="871">
        <v>0.4</v>
      </c>
      <c r="U131" s="873">
        <f t="shared" si="52"/>
        <v>3.0355599999999998</v>
      </c>
      <c r="V131" s="873">
        <f t="shared" si="42"/>
        <v>1.0620959999999999</v>
      </c>
      <c r="W131" s="873">
        <f t="shared" si="53"/>
        <v>8.1576559999999994</v>
      </c>
      <c r="X131" s="1018">
        <f t="shared" si="50"/>
        <v>11339.141839999998</v>
      </c>
    </row>
    <row r="132" spans="1:26" ht="17.25" customHeight="1">
      <c r="A132" s="871">
        <v>106</v>
      </c>
      <c r="B132" s="871">
        <v>4</v>
      </c>
      <c r="C132" s="869" t="s">
        <v>208</v>
      </c>
      <c r="D132" s="870">
        <v>25817</v>
      </c>
      <c r="E132" s="871" t="s">
        <v>29</v>
      </c>
      <c r="F132" s="872">
        <v>4.0599999999999996</v>
      </c>
      <c r="G132" s="1025" t="s">
        <v>631</v>
      </c>
      <c r="H132" s="1025" t="s">
        <v>635</v>
      </c>
      <c r="I132" s="1026">
        <v>2018</v>
      </c>
      <c r="J132" s="875">
        <v>6</v>
      </c>
      <c r="K132" s="889">
        <f t="shared" si="54"/>
        <v>0.24359999999999996</v>
      </c>
      <c r="L132" s="871"/>
      <c r="M132" s="871">
        <v>0.3</v>
      </c>
      <c r="N132" s="871"/>
      <c r="O132" s="871"/>
      <c r="P132" s="871">
        <v>0.2</v>
      </c>
      <c r="Q132" s="871">
        <v>40</v>
      </c>
      <c r="R132" s="873">
        <f t="shared" si="51"/>
        <v>1.7214399999999999</v>
      </c>
      <c r="S132" s="871"/>
      <c r="T132" s="871">
        <v>0.4</v>
      </c>
      <c r="U132" s="873">
        <f t="shared" si="52"/>
        <v>2.86504</v>
      </c>
      <c r="V132" s="873">
        <f t="shared" ref="V132:V161" si="55">SUM(F132+K132+L132+S132)*24/100</f>
        <v>1.0328639999999998</v>
      </c>
      <c r="W132" s="873">
        <f t="shared" si="53"/>
        <v>7.9579039999999992</v>
      </c>
      <c r="X132" s="1018">
        <f t="shared" si="50"/>
        <v>11061.486559999999</v>
      </c>
    </row>
    <row r="133" spans="1:26" ht="17.25" customHeight="1">
      <c r="A133" s="871">
        <v>107</v>
      </c>
      <c r="B133" s="871">
        <v>5</v>
      </c>
      <c r="C133" s="869" t="s">
        <v>603</v>
      </c>
      <c r="D133" s="870">
        <v>28759</v>
      </c>
      <c r="E133" s="871" t="s">
        <v>36</v>
      </c>
      <c r="F133" s="872">
        <v>2.86</v>
      </c>
      <c r="G133" s="1025" t="s">
        <v>631</v>
      </c>
      <c r="H133" s="1025" t="s">
        <v>638</v>
      </c>
      <c r="I133" s="1026">
        <v>2018</v>
      </c>
      <c r="J133" s="871"/>
      <c r="K133" s="889"/>
      <c r="L133" s="871"/>
      <c r="M133" s="871">
        <v>0.3</v>
      </c>
      <c r="N133" s="871"/>
      <c r="O133" s="871"/>
      <c r="P133" s="871">
        <v>0.2</v>
      </c>
      <c r="Q133" s="871">
        <v>40</v>
      </c>
      <c r="R133" s="873">
        <f t="shared" si="51"/>
        <v>1.1439999999999999</v>
      </c>
      <c r="S133" s="871"/>
      <c r="T133" s="871">
        <v>0.4</v>
      </c>
      <c r="U133" s="873">
        <f t="shared" si="52"/>
        <v>2.044</v>
      </c>
      <c r="V133" s="873">
        <f t="shared" si="55"/>
        <v>0.68640000000000001</v>
      </c>
      <c r="W133" s="873">
        <f t="shared" si="53"/>
        <v>5.5903999999999998</v>
      </c>
      <c r="X133" s="1018">
        <f t="shared" si="50"/>
        <v>7770.6559999999999</v>
      </c>
    </row>
    <row r="134" spans="1:26" s="13" customFormat="1" ht="17.25" customHeight="1">
      <c r="A134" s="871">
        <v>108</v>
      </c>
      <c r="B134" s="871"/>
      <c r="C134" s="869" t="s">
        <v>244</v>
      </c>
      <c r="D134" s="870">
        <v>34520</v>
      </c>
      <c r="E134" s="871" t="s">
        <v>36</v>
      </c>
      <c r="F134" s="894">
        <v>2.06</v>
      </c>
      <c r="G134" s="1029">
        <v>1</v>
      </c>
      <c r="H134" s="1029">
        <v>4</v>
      </c>
      <c r="I134" s="1029">
        <v>2019</v>
      </c>
      <c r="J134" s="871"/>
      <c r="K134" s="889"/>
      <c r="L134" s="871"/>
      <c r="M134" s="871">
        <v>0.3</v>
      </c>
      <c r="N134" s="871"/>
      <c r="O134" s="871"/>
      <c r="P134" s="871">
        <v>0.2</v>
      </c>
      <c r="Q134" s="871">
        <v>40</v>
      </c>
      <c r="R134" s="873">
        <f t="shared" si="51"/>
        <v>0.82400000000000007</v>
      </c>
      <c r="S134" s="871"/>
      <c r="T134" s="871">
        <v>0.4</v>
      </c>
      <c r="U134" s="873">
        <f t="shared" si="52"/>
        <v>1.7240000000000002</v>
      </c>
      <c r="V134" s="873">
        <f t="shared" si="55"/>
        <v>0.49439999999999995</v>
      </c>
      <c r="W134" s="873">
        <f t="shared" si="53"/>
        <v>4.2784000000000004</v>
      </c>
      <c r="X134" s="1018">
        <f t="shared" ref="X134" si="56">SUM(W134)*1390</f>
        <v>5946.9760000000006</v>
      </c>
      <c r="Y134"/>
      <c r="Z134"/>
    </row>
    <row r="135" spans="1:26" s="13" customFormat="1" ht="17.25" customHeight="1">
      <c r="A135" s="871">
        <v>109</v>
      </c>
      <c r="B135" s="871"/>
      <c r="C135" s="869" t="s">
        <v>245</v>
      </c>
      <c r="D135" s="870">
        <v>34579</v>
      </c>
      <c r="E135" s="871" t="s">
        <v>36</v>
      </c>
      <c r="F135" s="894">
        <v>2.06</v>
      </c>
      <c r="G135" s="1029">
        <v>1</v>
      </c>
      <c r="H135" s="1029">
        <v>4</v>
      </c>
      <c r="I135" s="1029">
        <v>2019</v>
      </c>
      <c r="J135" s="871"/>
      <c r="K135" s="889"/>
      <c r="L135" s="871"/>
      <c r="M135" s="871">
        <v>0.3</v>
      </c>
      <c r="N135" s="871"/>
      <c r="O135" s="871"/>
      <c r="P135" s="871">
        <v>0.2</v>
      </c>
      <c r="Q135" s="871">
        <v>40</v>
      </c>
      <c r="R135" s="873">
        <f t="shared" si="51"/>
        <v>0.82400000000000007</v>
      </c>
      <c r="S135" s="871"/>
      <c r="T135" s="871">
        <v>0.4</v>
      </c>
      <c r="U135" s="873">
        <f t="shared" si="52"/>
        <v>1.7240000000000002</v>
      </c>
      <c r="V135" s="873">
        <f t="shared" ref="V135" si="57">SUM(F135+K135+L135+S135)*24/100</f>
        <v>0.49439999999999995</v>
      </c>
      <c r="W135" s="873">
        <f t="shared" si="53"/>
        <v>4.2784000000000004</v>
      </c>
      <c r="X135" s="1018">
        <f t="shared" ref="X135" si="58">SUM(W135)*1390</f>
        <v>5946.9760000000006</v>
      </c>
      <c r="Y135"/>
      <c r="Z135"/>
    </row>
    <row r="136" spans="1:26" ht="17.25" customHeight="1">
      <c r="A136" s="871"/>
      <c r="B136" s="871"/>
      <c r="C136" s="1353" t="s">
        <v>604</v>
      </c>
      <c r="D136" s="1353"/>
      <c r="E136" s="871"/>
      <c r="F136" s="872"/>
      <c r="G136" s="1025"/>
      <c r="H136" s="1025"/>
      <c r="I136" s="1026"/>
      <c r="J136" s="871"/>
      <c r="K136" s="889"/>
      <c r="L136" s="871"/>
      <c r="M136" s="871"/>
      <c r="N136" s="871"/>
      <c r="O136" s="871"/>
      <c r="P136" s="871"/>
      <c r="Q136" s="871"/>
      <c r="R136" s="873"/>
      <c r="S136" s="871"/>
      <c r="T136" s="871"/>
      <c r="U136" s="873"/>
      <c r="V136" s="873"/>
      <c r="W136" s="873"/>
      <c r="X136" s="1018"/>
    </row>
    <row r="137" spans="1:26" ht="17.25" customHeight="1">
      <c r="A137" s="871">
        <v>110</v>
      </c>
      <c r="B137" s="871">
        <v>1</v>
      </c>
      <c r="C137" s="869" t="s">
        <v>177</v>
      </c>
      <c r="D137" s="870">
        <v>31547</v>
      </c>
      <c r="E137" s="871" t="s">
        <v>60</v>
      </c>
      <c r="F137" s="872">
        <v>3</v>
      </c>
      <c r="G137" s="1032" t="s">
        <v>631</v>
      </c>
      <c r="H137" s="1032" t="s">
        <v>640</v>
      </c>
      <c r="I137" s="1033">
        <v>2018</v>
      </c>
      <c r="J137" s="871"/>
      <c r="K137" s="1003"/>
      <c r="L137" s="871">
        <v>0.4</v>
      </c>
      <c r="M137" s="871">
        <v>0.3</v>
      </c>
      <c r="N137" s="871"/>
      <c r="O137" s="871"/>
      <c r="P137" s="871">
        <v>0.2</v>
      </c>
      <c r="Q137" s="871">
        <v>70</v>
      </c>
      <c r="R137" s="873">
        <f t="shared" ref="R137:R145" si="59">SUM(F137+K137+L137)*Q137%</f>
        <v>2.38</v>
      </c>
      <c r="S137" s="871"/>
      <c r="T137" s="871">
        <v>0.4</v>
      </c>
      <c r="U137" s="873">
        <f t="shared" ref="U137:U145" si="60">SUM(K137+L137+M137+N137+O137+P137+R137+S137+T137)</f>
        <v>3.6799999999999997</v>
      </c>
      <c r="V137" s="873">
        <f t="shared" si="55"/>
        <v>0.81599999999999995</v>
      </c>
      <c r="W137" s="873">
        <f t="shared" ref="W137:W145" si="61">SUM(F137+U137+V137)</f>
        <v>7.4959999999999996</v>
      </c>
      <c r="X137" s="1018">
        <f t="shared" si="50"/>
        <v>10419.439999999999</v>
      </c>
    </row>
    <row r="138" spans="1:26" ht="17.25" customHeight="1">
      <c r="A138" s="871">
        <v>111</v>
      </c>
      <c r="B138" s="871">
        <v>2</v>
      </c>
      <c r="C138" s="869" t="s">
        <v>178</v>
      </c>
      <c r="D138" s="870">
        <v>33601</v>
      </c>
      <c r="E138" s="871" t="s">
        <v>60</v>
      </c>
      <c r="F138" s="872">
        <v>2.34</v>
      </c>
      <c r="G138" s="1025" t="s">
        <v>631</v>
      </c>
      <c r="H138" s="1025" t="s">
        <v>641</v>
      </c>
      <c r="I138" s="1026">
        <v>2016</v>
      </c>
      <c r="J138" s="871"/>
      <c r="K138" s="889"/>
      <c r="L138" s="871">
        <v>0.3</v>
      </c>
      <c r="M138" s="871">
        <v>0.3</v>
      </c>
      <c r="N138" s="871"/>
      <c r="O138" s="871"/>
      <c r="P138" s="871">
        <v>0.2</v>
      </c>
      <c r="Q138" s="871">
        <v>40</v>
      </c>
      <c r="R138" s="873">
        <f t="shared" si="59"/>
        <v>1.0559999999999998</v>
      </c>
      <c r="S138" s="871"/>
      <c r="T138" s="871">
        <v>0.4</v>
      </c>
      <c r="U138" s="873">
        <f t="shared" si="60"/>
        <v>2.2559999999999998</v>
      </c>
      <c r="V138" s="873">
        <f t="shared" si="55"/>
        <v>0.63359999999999994</v>
      </c>
      <c r="W138" s="873">
        <f t="shared" si="61"/>
        <v>5.2295999999999996</v>
      </c>
      <c r="X138" s="1018">
        <f t="shared" si="50"/>
        <v>7269.1439999999993</v>
      </c>
    </row>
    <row r="139" spans="1:26" ht="17.25" customHeight="1">
      <c r="A139" s="871">
        <v>112</v>
      </c>
      <c r="B139" s="871">
        <v>3</v>
      </c>
      <c r="C139" s="869" t="s">
        <v>605</v>
      </c>
      <c r="D139" s="870">
        <v>29653</v>
      </c>
      <c r="E139" s="875" t="s">
        <v>60</v>
      </c>
      <c r="F139" s="874">
        <v>2.67</v>
      </c>
      <c r="G139" s="1025" t="s">
        <v>631</v>
      </c>
      <c r="H139" s="1025" t="s">
        <v>636</v>
      </c>
      <c r="I139" s="1026">
        <v>2018</v>
      </c>
      <c r="J139" s="871"/>
      <c r="K139" s="889"/>
      <c r="L139" s="871"/>
      <c r="M139" s="871">
        <v>0.3</v>
      </c>
      <c r="N139" s="871"/>
      <c r="O139" s="871"/>
      <c r="P139" s="871">
        <v>0.2</v>
      </c>
      <c r="Q139" s="871">
        <v>40</v>
      </c>
      <c r="R139" s="873">
        <f t="shared" si="59"/>
        <v>1.0680000000000001</v>
      </c>
      <c r="S139" s="871"/>
      <c r="T139" s="871">
        <v>0.4</v>
      </c>
      <c r="U139" s="873">
        <f t="shared" si="60"/>
        <v>1.968</v>
      </c>
      <c r="V139" s="873">
        <f t="shared" si="55"/>
        <v>0.64080000000000004</v>
      </c>
      <c r="W139" s="873">
        <f t="shared" si="61"/>
        <v>5.2788000000000004</v>
      </c>
      <c r="X139" s="1018">
        <f t="shared" si="50"/>
        <v>7337.5320000000002</v>
      </c>
    </row>
    <row r="140" spans="1:26" ht="17.25" customHeight="1">
      <c r="A140" s="871">
        <v>113</v>
      </c>
      <c r="B140" s="871">
        <v>4</v>
      </c>
      <c r="C140" s="869" t="s">
        <v>606</v>
      </c>
      <c r="D140" s="870">
        <v>25431</v>
      </c>
      <c r="E140" s="871" t="s">
        <v>29</v>
      </c>
      <c r="F140" s="874">
        <v>4.0599999999999996</v>
      </c>
      <c r="G140" s="1025" t="s">
        <v>631</v>
      </c>
      <c r="H140" s="1025" t="s">
        <v>631</v>
      </c>
      <c r="I140" s="1026">
        <v>2018</v>
      </c>
      <c r="J140" s="875">
        <v>5</v>
      </c>
      <c r="K140" s="891">
        <f t="shared" si="54"/>
        <v>0.20299999999999999</v>
      </c>
      <c r="L140" s="875"/>
      <c r="M140" s="875">
        <v>0.3</v>
      </c>
      <c r="N140" s="875"/>
      <c r="O140" s="875"/>
      <c r="P140" s="875">
        <v>0.2</v>
      </c>
      <c r="Q140" s="875">
        <v>40</v>
      </c>
      <c r="R140" s="873">
        <f t="shared" si="59"/>
        <v>1.7052</v>
      </c>
      <c r="S140" s="871"/>
      <c r="T140" s="871">
        <v>0.4</v>
      </c>
      <c r="U140" s="873">
        <f t="shared" si="60"/>
        <v>2.8081999999999998</v>
      </c>
      <c r="V140" s="873">
        <f t="shared" si="55"/>
        <v>1.02312</v>
      </c>
      <c r="W140" s="873">
        <f t="shared" si="61"/>
        <v>7.8913200000000003</v>
      </c>
      <c r="X140" s="1018">
        <f t="shared" si="50"/>
        <v>10968.934800000001</v>
      </c>
    </row>
    <row r="141" spans="1:26" ht="17.25" customHeight="1">
      <c r="A141" s="871">
        <v>114</v>
      </c>
      <c r="B141" s="871">
        <v>5</v>
      </c>
      <c r="C141" s="869" t="s">
        <v>607</v>
      </c>
      <c r="D141" s="870">
        <v>26378</v>
      </c>
      <c r="E141" s="871" t="s">
        <v>38</v>
      </c>
      <c r="F141" s="872">
        <v>2.66</v>
      </c>
      <c r="G141" s="1025" t="s">
        <v>631</v>
      </c>
      <c r="H141" s="1025" t="s">
        <v>638</v>
      </c>
      <c r="I141" s="1026">
        <v>2017</v>
      </c>
      <c r="J141" s="871"/>
      <c r="K141" s="889"/>
      <c r="L141" s="871"/>
      <c r="M141" s="871">
        <v>0.3</v>
      </c>
      <c r="N141" s="871"/>
      <c r="O141" s="871"/>
      <c r="P141" s="871">
        <v>0.2</v>
      </c>
      <c r="Q141" s="871">
        <v>70</v>
      </c>
      <c r="R141" s="873">
        <f t="shared" si="59"/>
        <v>1.8619999999999999</v>
      </c>
      <c r="S141" s="871"/>
      <c r="T141" s="871">
        <v>0.4</v>
      </c>
      <c r="U141" s="873">
        <f t="shared" si="60"/>
        <v>2.762</v>
      </c>
      <c r="V141" s="873">
        <f t="shared" si="55"/>
        <v>0.63840000000000008</v>
      </c>
      <c r="W141" s="873">
        <f t="shared" si="61"/>
        <v>6.0604000000000005</v>
      </c>
      <c r="X141" s="1018">
        <f t="shared" si="50"/>
        <v>8423.9560000000001</v>
      </c>
    </row>
    <row r="142" spans="1:26" ht="17.25" customHeight="1">
      <c r="A142" s="871">
        <v>115</v>
      </c>
      <c r="B142" s="871">
        <v>6</v>
      </c>
      <c r="C142" s="869" t="s">
        <v>179</v>
      </c>
      <c r="D142" s="870">
        <v>31608</v>
      </c>
      <c r="E142" s="871" t="s">
        <v>38</v>
      </c>
      <c r="F142" s="872">
        <v>2.46</v>
      </c>
      <c r="G142" s="1025" t="s">
        <v>631</v>
      </c>
      <c r="H142" s="1025" t="s">
        <v>642</v>
      </c>
      <c r="I142" s="1026">
        <v>2017</v>
      </c>
      <c r="J142" s="871"/>
      <c r="K142" s="889"/>
      <c r="L142" s="871"/>
      <c r="M142" s="871">
        <v>0.3</v>
      </c>
      <c r="N142" s="871"/>
      <c r="O142" s="871"/>
      <c r="P142" s="871">
        <v>0.2</v>
      </c>
      <c r="Q142" s="871">
        <v>40</v>
      </c>
      <c r="R142" s="873">
        <f t="shared" si="59"/>
        <v>0.98399999999999999</v>
      </c>
      <c r="S142" s="871"/>
      <c r="T142" s="871">
        <v>0.4</v>
      </c>
      <c r="U142" s="873">
        <f t="shared" si="60"/>
        <v>1.8839999999999999</v>
      </c>
      <c r="V142" s="873">
        <f t="shared" si="55"/>
        <v>0.59040000000000004</v>
      </c>
      <c r="W142" s="873">
        <f t="shared" si="61"/>
        <v>4.9343999999999992</v>
      </c>
      <c r="X142" s="1018">
        <f t="shared" si="50"/>
        <v>6858.8159999999989</v>
      </c>
    </row>
    <row r="143" spans="1:26" ht="17.25" customHeight="1">
      <c r="A143" s="871">
        <v>116</v>
      </c>
      <c r="B143" s="871">
        <v>7</v>
      </c>
      <c r="C143" s="869" t="s">
        <v>608</v>
      </c>
      <c r="D143" s="870">
        <v>29718</v>
      </c>
      <c r="E143" s="871" t="s">
        <v>206</v>
      </c>
      <c r="F143" s="874">
        <v>3.06</v>
      </c>
      <c r="G143" s="1032" t="s">
        <v>631</v>
      </c>
      <c r="H143" s="1032" t="s">
        <v>634</v>
      </c>
      <c r="I143" s="1033">
        <v>2017</v>
      </c>
      <c r="J143" s="871"/>
      <c r="K143" s="889"/>
      <c r="L143" s="871"/>
      <c r="M143" s="871">
        <v>0.3</v>
      </c>
      <c r="N143" s="871"/>
      <c r="O143" s="871"/>
      <c r="P143" s="871">
        <v>0.2</v>
      </c>
      <c r="Q143" s="871">
        <v>70</v>
      </c>
      <c r="R143" s="873">
        <f t="shared" si="59"/>
        <v>2.1419999999999999</v>
      </c>
      <c r="S143" s="871"/>
      <c r="T143" s="871">
        <v>0.4</v>
      </c>
      <c r="U143" s="873">
        <f t="shared" si="60"/>
        <v>3.0419999999999998</v>
      </c>
      <c r="V143" s="873">
        <f t="shared" si="55"/>
        <v>0.73439999999999994</v>
      </c>
      <c r="W143" s="873">
        <f t="shared" si="61"/>
        <v>6.8364000000000003</v>
      </c>
      <c r="X143" s="1018">
        <f t="shared" si="50"/>
        <v>9502.5959999999995</v>
      </c>
    </row>
    <row r="144" spans="1:26" ht="17.25" customHeight="1">
      <c r="A144" s="871">
        <v>117</v>
      </c>
      <c r="B144" s="871">
        <v>8</v>
      </c>
      <c r="C144" s="869" t="s">
        <v>609</v>
      </c>
      <c r="D144" s="870">
        <v>31677</v>
      </c>
      <c r="E144" s="871" t="s">
        <v>206</v>
      </c>
      <c r="F144" s="872">
        <v>2.66</v>
      </c>
      <c r="G144" s="1025" t="s">
        <v>631</v>
      </c>
      <c r="H144" s="1025" t="s">
        <v>637</v>
      </c>
      <c r="I144" s="1026">
        <v>2018</v>
      </c>
      <c r="J144" s="871"/>
      <c r="K144" s="889"/>
      <c r="L144" s="871"/>
      <c r="M144" s="871">
        <v>0.3</v>
      </c>
      <c r="N144" s="871"/>
      <c r="O144" s="871"/>
      <c r="P144" s="871">
        <v>0.2</v>
      </c>
      <c r="Q144" s="871">
        <v>70</v>
      </c>
      <c r="R144" s="873">
        <f t="shared" si="59"/>
        <v>1.8619999999999999</v>
      </c>
      <c r="S144" s="871"/>
      <c r="T144" s="871">
        <v>0.4</v>
      </c>
      <c r="U144" s="873">
        <f t="shared" si="60"/>
        <v>2.762</v>
      </c>
      <c r="V144" s="873">
        <f t="shared" si="55"/>
        <v>0.63840000000000008</v>
      </c>
      <c r="W144" s="873">
        <f t="shared" si="61"/>
        <v>6.0604000000000005</v>
      </c>
      <c r="X144" s="1018">
        <f t="shared" si="50"/>
        <v>8423.9560000000001</v>
      </c>
    </row>
    <row r="145" spans="1:26" ht="17.25" customHeight="1">
      <c r="A145" s="871">
        <v>118</v>
      </c>
      <c r="B145" s="871">
        <v>9</v>
      </c>
      <c r="C145" s="869" t="s">
        <v>610</v>
      </c>
      <c r="D145" s="870">
        <v>32139</v>
      </c>
      <c r="E145" s="871" t="s">
        <v>29</v>
      </c>
      <c r="F145" s="872">
        <v>2.66</v>
      </c>
      <c r="G145" s="1025" t="s">
        <v>631</v>
      </c>
      <c r="H145" s="1025" t="s">
        <v>638</v>
      </c>
      <c r="I145" s="1026">
        <v>2017</v>
      </c>
      <c r="J145" s="871"/>
      <c r="K145" s="889"/>
      <c r="L145" s="871"/>
      <c r="M145" s="871">
        <v>0.3</v>
      </c>
      <c r="N145" s="871"/>
      <c r="O145" s="871"/>
      <c r="P145" s="871">
        <v>0.2</v>
      </c>
      <c r="Q145" s="871">
        <v>40</v>
      </c>
      <c r="R145" s="873">
        <f t="shared" si="59"/>
        <v>1.0640000000000001</v>
      </c>
      <c r="S145" s="871"/>
      <c r="T145" s="871">
        <v>0.4</v>
      </c>
      <c r="U145" s="873">
        <f t="shared" si="60"/>
        <v>1.964</v>
      </c>
      <c r="V145" s="873">
        <f t="shared" si="55"/>
        <v>0.63840000000000008</v>
      </c>
      <c r="W145" s="873">
        <f t="shared" si="61"/>
        <v>5.2624000000000004</v>
      </c>
      <c r="X145" s="1018">
        <f t="shared" si="50"/>
        <v>7314.7360000000008</v>
      </c>
    </row>
    <row r="146" spans="1:26" ht="17.25" customHeight="1">
      <c r="A146" s="871"/>
      <c r="B146" s="871"/>
      <c r="C146" s="1353" t="s">
        <v>611</v>
      </c>
      <c r="D146" s="1353"/>
      <c r="E146" s="871"/>
      <c r="F146" s="872"/>
      <c r="G146" s="1025"/>
      <c r="H146" s="1025"/>
      <c r="I146" s="1026"/>
      <c r="J146" s="871"/>
      <c r="K146" s="889"/>
      <c r="L146" s="871"/>
      <c r="M146" s="871"/>
      <c r="N146" s="871"/>
      <c r="O146" s="871"/>
      <c r="P146" s="871"/>
      <c r="Q146" s="871"/>
      <c r="R146" s="873"/>
      <c r="S146" s="871"/>
      <c r="T146" s="871"/>
      <c r="U146" s="873"/>
      <c r="V146" s="873"/>
      <c r="W146" s="873"/>
      <c r="X146" s="1018"/>
    </row>
    <row r="147" spans="1:26" ht="17.25" customHeight="1">
      <c r="A147" s="871">
        <v>119</v>
      </c>
      <c r="B147" s="871">
        <v>1</v>
      </c>
      <c r="C147" s="869" t="s">
        <v>612</v>
      </c>
      <c r="D147" s="870">
        <v>23692</v>
      </c>
      <c r="E147" s="871" t="s">
        <v>29</v>
      </c>
      <c r="F147" s="872">
        <v>4.0599999999999996</v>
      </c>
      <c r="G147" s="1025" t="s">
        <v>631</v>
      </c>
      <c r="H147" s="1025" t="s">
        <v>637</v>
      </c>
      <c r="I147" s="1026">
        <v>2018</v>
      </c>
      <c r="J147" s="871">
        <v>11</v>
      </c>
      <c r="K147" s="889">
        <f t="shared" si="54"/>
        <v>0.44659999999999994</v>
      </c>
      <c r="L147" s="871">
        <v>0.4</v>
      </c>
      <c r="M147" s="871">
        <v>0.3</v>
      </c>
      <c r="N147" s="871"/>
      <c r="O147" s="871"/>
      <c r="P147" s="871">
        <v>0.2</v>
      </c>
      <c r="Q147" s="871">
        <v>40</v>
      </c>
      <c r="R147" s="873">
        <f t="shared" ref="R147:R156" si="62">SUM(F147+K147+L147)*Q147%</f>
        <v>1.9626400000000002</v>
      </c>
      <c r="S147" s="871"/>
      <c r="T147" s="871">
        <v>0.4</v>
      </c>
      <c r="U147" s="873">
        <f t="shared" ref="U147:U156" si="63">SUM(K147+L147+M147+N147+O147+P147+R147+S147+T147)</f>
        <v>3.7092399999999999</v>
      </c>
      <c r="V147" s="873">
        <f t="shared" si="55"/>
        <v>1.177584</v>
      </c>
      <c r="W147" s="873">
        <f t="shared" ref="W147:W156" si="64">SUM(F147+U147+V147)</f>
        <v>8.9468239999999994</v>
      </c>
      <c r="X147" s="1018">
        <f t="shared" si="50"/>
        <v>12436.085359999999</v>
      </c>
    </row>
    <row r="148" spans="1:26" ht="17.25" customHeight="1">
      <c r="A148" s="871">
        <v>120</v>
      </c>
      <c r="B148" s="871">
        <v>2</v>
      </c>
      <c r="C148" s="869" t="s">
        <v>180</v>
      </c>
      <c r="D148" s="870">
        <v>28856</v>
      </c>
      <c r="E148" s="871" t="s">
        <v>38</v>
      </c>
      <c r="F148" s="872">
        <v>2.86</v>
      </c>
      <c r="G148" s="1025" t="s">
        <v>631</v>
      </c>
      <c r="H148" s="1025" t="s">
        <v>636</v>
      </c>
      <c r="I148" s="1026">
        <v>2018</v>
      </c>
      <c r="J148" s="871"/>
      <c r="K148" s="889"/>
      <c r="L148" s="871"/>
      <c r="M148" s="871">
        <v>0.3</v>
      </c>
      <c r="N148" s="871"/>
      <c r="O148" s="871"/>
      <c r="P148" s="871">
        <v>0.2</v>
      </c>
      <c r="Q148" s="871">
        <v>40</v>
      </c>
      <c r="R148" s="873">
        <f t="shared" si="62"/>
        <v>1.1439999999999999</v>
      </c>
      <c r="S148" s="871"/>
      <c r="T148" s="871">
        <v>0.4</v>
      </c>
      <c r="U148" s="873">
        <f t="shared" si="63"/>
        <v>2.044</v>
      </c>
      <c r="V148" s="873">
        <f t="shared" si="55"/>
        <v>0.68640000000000001</v>
      </c>
      <c r="W148" s="873">
        <f t="shared" si="64"/>
        <v>5.5903999999999998</v>
      </c>
      <c r="X148" s="1018">
        <f t="shared" si="50"/>
        <v>7770.6559999999999</v>
      </c>
    </row>
    <row r="149" spans="1:26" ht="17.25" customHeight="1">
      <c r="A149" s="871">
        <v>121</v>
      </c>
      <c r="B149" s="871">
        <v>3</v>
      </c>
      <c r="C149" s="892" t="s">
        <v>613</v>
      </c>
      <c r="D149" s="893">
        <v>30675</v>
      </c>
      <c r="E149" s="879" t="s">
        <v>29</v>
      </c>
      <c r="F149" s="894">
        <v>2.66</v>
      </c>
      <c r="G149" s="1025" t="s">
        <v>631</v>
      </c>
      <c r="H149" s="1025" t="s">
        <v>638</v>
      </c>
      <c r="I149" s="1026">
        <v>2017</v>
      </c>
      <c r="J149" s="879"/>
      <c r="K149" s="889"/>
      <c r="L149" s="879"/>
      <c r="M149" s="879">
        <v>0.3</v>
      </c>
      <c r="N149" s="879"/>
      <c r="O149" s="879"/>
      <c r="P149" s="879">
        <v>0.2</v>
      </c>
      <c r="Q149" s="890">
        <v>70</v>
      </c>
      <c r="R149" s="873">
        <f t="shared" si="62"/>
        <v>1.8619999999999999</v>
      </c>
      <c r="S149" s="879"/>
      <c r="T149" s="879">
        <v>0.4</v>
      </c>
      <c r="U149" s="873">
        <f t="shared" si="63"/>
        <v>2.762</v>
      </c>
      <c r="V149" s="873">
        <f t="shared" si="55"/>
        <v>0.63840000000000008</v>
      </c>
      <c r="W149" s="873">
        <f t="shared" si="64"/>
        <v>6.0604000000000005</v>
      </c>
      <c r="X149" s="1018">
        <f t="shared" si="50"/>
        <v>8423.9560000000001</v>
      </c>
    </row>
    <row r="150" spans="1:26" ht="17.25" customHeight="1">
      <c r="A150" s="871">
        <v>122</v>
      </c>
      <c r="B150" s="871">
        <v>4</v>
      </c>
      <c r="C150" s="869" t="s">
        <v>614</v>
      </c>
      <c r="D150" s="870">
        <v>31250</v>
      </c>
      <c r="E150" s="875" t="s">
        <v>31</v>
      </c>
      <c r="F150" s="874">
        <v>2.67</v>
      </c>
      <c r="G150" s="1025" t="s">
        <v>631</v>
      </c>
      <c r="H150" s="1025" t="s">
        <v>636</v>
      </c>
      <c r="I150" s="1026">
        <v>2018</v>
      </c>
      <c r="J150" s="871"/>
      <c r="K150" s="889"/>
      <c r="L150" s="871"/>
      <c r="M150" s="871">
        <v>0.3</v>
      </c>
      <c r="N150" s="871"/>
      <c r="O150" s="871"/>
      <c r="P150" s="871">
        <v>0.2</v>
      </c>
      <c r="Q150" s="871">
        <v>40</v>
      </c>
      <c r="R150" s="873">
        <f t="shared" si="62"/>
        <v>1.0680000000000001</v>
      </c>
      <c r="S150" s="871"/>
      <c r="T150" s="871">
        <v>0.4</v>
      </c>
      <c r="U150" s="873">
        <f t="shared" si="63"/>
        <v>1.968</v>
      </c>
      <c r="V150" s="873">
        <f t="shared" si="55"/>
        <v>0.64080000000000004</v>
      </c>
      <c r="W150" s="873">
        <f t="shared" si="64"/>
        <v>5.2788000000000004</v>
      </c>
      <c r="X150" s="1018">
        <f t="shared" si="50"/>
        <v>7337.5320000000002</v>
      </c>
    </row>
    <row r="151" spans="1:26" ht="17.25" customHeight="1">
      <c r="A151" s="871">
        <v>123</v>
      </c>
      <c r="B151" s="871">
        <v>5</v>
      </c>
      <c r="C151" s="869" t="s">
        <v>615</v>
      </c>
      <c r="D151" s="870">
        <v>30904</v>
      </c>
      <c r="E151" s="871" t="s">
        <v>29</v>
      </c>
      <c r="F151" s="872">
        <v>2.66</v>
      </c>
      <c r="G151" s="1025" t="s">
        <v>631</v>
      </c>
      <c r="H151" s="1025" t="s">
        <v>639</v>
      </c>
      <c r="I151" s="1026">
        <v>2018</v>
      </c>
      <c r="J151" s="871"/>
      <c r="K151" s="889"/>
      <c r="L151" s="871"/>
      <c r="M151" s="871">
        <v>0.3</v>
      </c>
      <c r="N151" s="871"/>
      <c r="O151" s="871"/>
      <c r="P151" s="871">
        <v>0.2</v>
      </c>
      <c r="Q151" s="871">
        <v>40</v>
      </c>
      <c r="R151" s="873">
        <f t="shared" si="62"/>
        <v>1.0640000000000001</v>
      </c>
      <c r="S151" s="871"/>
      <c r="T151" s="871">
        <v>0.4</v>
      </c>
      <c r="U151" s="873">
        <f t="shared" si="63"/>
        <v>1.964</v>
      </c>
      <c r="V151" s="873">
        <f t="shared" si="55"/>
        <v>0.63840000000000008</v>
      </c>
      <c r="W151" s="873">
        <f t="shared" si="64"/>
        <v>5.2624000000000004</v>
      </c>
      <c r="X151" s="1018">
        <f t="shared" si="50"/>
        <v>7314.7360000000008</v>
      </c>
    </row>
    <row r="152" spans="1:26" ht="17.25" customHeight="1">
      <c r="A152" s="871">
        <v>124</v>
      </c>
      <c r="B152" s="871">
        <v>6</v>
      </c>
      <c r="C152" s="869" t="s">
        <v>181</v>
      </c>
      <c r="D152" s="870">
        <v>29874</v>
      </c>
      <c r="E152" s="871" t="s">
        <v>29</v>
      </c>
      <c r="F152" s="872">
        <v>2.46</v>
      </c>
      <c r="G152" s="1025" t="s">
        <v>631</v>
      </c>
      <c r="H152" s="1025" t="s">
        <v>642</v>
      </c>
      <c r="I152" s="1026">
        <v>2017</v>
      </c>
      <c r="J152" s="871"/>
      <c r="K152" s="889"/>
      <c r="L152" s="871"/>
      <c r="M152" s="871">
        <v>0.3</v>
      </c>
      <c r="N152" s="871"/>
      <c r="O152" s="871"/>
      <c r="P152" s="871">
        <v>0.2</v>
      </c>
      <c r="Q152" s="871">
        <v>40</v>
      </c>
      <c r="R152" s="873">
        <f t="shared" si="62"/>
        <v>0.98399999999999999</v>
      </c>
      <c r="S152" s="871"/>
      <c r="T152" s="871">
        <v>0.4</v>
      </c>
      <c r="U152" s="873">
        <f t="shared" si="63"/>
        <v>1.8839999999999999</v>
      </c>
      <c r="V152" s="873">
        <f t="shared" si="55"/>
        <v>0.59040000000000004</v>
      </c>
      <c r="W152" s="873">
        <f t="shared" si="64"/>
        <v>4.9343999999999992</v>
      </c>
      <c r="X152" s="1018">
        <f t="shared" si="50"/>
        <v>6858.8159999999989</v>
      </c>
    </row>
    <row r="153" spans="1:26" ht="17.25" customHeight="1">
      <c r="A153" s="871">
        <v>125</v>
      </c>
      <c r="B153" s="871">
        <v>7</v>
      </c>
      <c r="C153" s="869" t="s">
        <v>616</v>
      </c>
      <c r="D153" s="870" t="s">
        <v>617</v>
      </c>
      <c r="E153" s="871" t="s">
        <v>618</v>
      </c>
      <c r="F153" s="872">
        <v>3</v>
      </c>
      <c r="G153" s="1025" t="s">
        <v>631</v>
      </c>
      <c r="H153" s="1025" t="s">
        <v>638</v>
      </c>
      <c r="I153" s="1026">
        <v>2018</v>
      </c>
      <c r="J153" s="871"/>
      <c r="K153" s="889"/>
      <c r="L153" s="871">
        <v>0.3</v>
      </c>
      <c r="M153" s="871">
        <v>0.3</v>
      </c>
      <c r="N153" s="871"/>
      <c r="O153" s="871"/>
      <c r="P153" s="871">
        <v>0.2</v>
      </c>
      <c r="Q153" s="871">
        <v>40</v>
      </c>
      <c r="R153" s="873">
        <f t="shared" si="62"/>
        <v>1.32</v>
      </c>
      <c r="S153" s="871"/>
      <c r="T153" s="871">
        <v>0.4</v>
      </c>
      <c r="U153" s="873">
        <f t="shared" si="63"/>
        <v>2.52</v>
      </c>
      <c r="V153" s="873">
        <f t="shared" si="55"/>
        <v>0.79199999999999993</v>
      </c>
      <c r="W153" s="873">
        <f t="shared" si="64"/>
        <v>6.3119999999999994</v>
      </c>
      <c r="X153" s="1018">
        <f t="shared" si="50"/>
        <v>8773.6799999999985</v>
      </c>
      <c r="Y153" s="142"/>
      <c r="Z153" s="142"/>
    </row>
    <row r="154" spans="1:26" ht="17.25" customHeight="1">
      <c r="A154" s="871">
        <v>126</v>
      </c>
      <c r="B154" s="871">
        <v>8</v>
      </c>
      <c r="C154" s="869" t="s">
        <v>619</v>
      </c>
      <c r="D154" s="870">
        <v>32499</v>
      </c>
      <c r="E154" s="871" t="s">
        <v>618</v>
      </c>
      <c r="F154" s="874">
        <v>2.67</v>
      </c>
      <c r="G154" s="1025" t="s">
        <v>631</v>
      </c>
      <c r="H154" s="1025" t="s">
        <v>631</v>
      </c>
      <c r="I154" s="1026">
        <v>2018</v>
      </c>
      <c r="J154" s="871"/>
      <c r="K154" s="889"/>
      <c r="L154" s="871"/>
      <c r="M154" s="871">
        <v>0.3</v>
      </c>
      <c r="N154" s="871"/>
      <c r="O154" s="871"/>
      <c r="P154" s="871">
        <v>0.2</v>
      </c>
      <c r="Q154" s="871">
        <v>40</v>
      </c>
      <c r="R154" s="873">
        <f t="shared" si="62"/>
        <v>1.0680000000000001</v>
      </c>
      <c r="S154" s="871"/>
      <c r="T154" s="871">
        <v>0.4</v>
      </c>
      <c r="U154" s="873">
        <f t="shared" si="63"/>
        <v>1.968</v>
      </c>
      <c r="V154" s="873">
        <f t="shared" si="55"/>
        <v>0.64080000000000004</v>
      </c>
      <c r="W154" s="873">
        <f t="shared" si="64"/>
        <v>5.2788000000000004</v>
      </c>
      <c r="X154" s="1018">
        <f t="shared" si="50"/>
        <v>7337.5320000000002</v>
      </c>
    </row>
    <row r="155" spans="1:26" ht="17.25" customHeight="1">
      <c r="A155" s="871">
        <v>127</v>
      </c>
      <c r="B155" s="871">
        <v>9</v>
      </c>
      <c r="C155" s="869" t="s">
        <v>620</v>
      </c>
      <c r="D155" s="870">
        <v>26310</v>
      </c>
      <c r="E155" s="871" t="s">
        <v>29</v>
      </c>
      <c r="F155" s="872">
        <v>4.0599999999999996</v>
      </c>
      <c r="G155" s="1025" t="s">
        <v>631</v>
      </c>
      <c r="H155" s="1025" t="s">
        <v>637</v>
      </c>
      <c r="I155" s="1026">
        <v>2018</v>
      </c>
      <c r="J155" s="871">
        <v>6</v>
      </c>
      <c r="K155" s="889">
        <f t="shared" si="54"/>
        <v>0.24359999999999996</v>
      </c>
      <c r="L155" s="871"/>
      <c r="M155" s="871">
        <v>0.3</v>
      </c>
      <c r="N155" s="871"/>
      <c r="O155" s="871"/>
      <c r="P155" s="871">
        <v>0.2</v>
      </c>
      <c r="Q155" s="871">
        <v>40</v>
      </c>
      <c r="R155" s="873">
        <f t="shared" si="62"/>
        <v>1.7214399999999999</v>
      </c>
      <c r="S155" s="871"/>
      <c r="T155" s="871">
        <v>0.4</v>
      </c>
      <c r="U155" s="873">
        <f t="shared" si="63"/>
        <v>2.86504</v>
      </c>
      <c r="V155" s="873">
        <f t="shared" si="55"/>
        <v>1.0328639999999998</v>
      </c>
      <c r="W155" s="873">
        <f t="shared" si="64"/>
        <v>7.9579039999999992</v>
      </c>
      <c r="X155" s="1018">
        <f t="shared" si="50"/>
        <v>11061.486559999999</v>
      </c>
    </row>
    <row r="156" spans="1:26" ht="17.25" customHeight="1">
      <c r="A156" s="871">
        <v>128</v>
      </c>
      <c r="B156" s="871">
        <v>10</v>
      </c>
      <c r="C156" s="869" t="s">
        <v>621</v>
      </c>
      <c r="D156" s="870">
        <v>33533</v>
      </c>
      <c r="E156" s="871" t="s">
        <v>29</v>
      </c>
      <c r="F156" s="872">
        <v>2.2599999999999998</v>
      </c>
      <c r="G156" s="1025" t="s">
        <v>631</v>
      </c>
      <c r="H156" s="1025" t="s">
        <v>640</v>
      </c>
      <c r="I156" s="1026">
        <v>2018</v>
      </c>
      <c r="J156" s="871"/>
      <c r="K156" s="889"/>
      <c r="L156" s="871"/>
      <c r="M156" s="871">
        <v>0.3</v>
      </c>
      <c r="N156" s="871"/>
      <c r="O156" s="871"/>
      <c r="P156" s="871">
        <v>0.2</v>
      </c>
      <c r="Q156" s="871">
        <v>40</v>
      </c>
      <c r="R156" s="873">
        <f t="shared" si="62"/>
        <v>0.90399999999999991</v>
      </c>
      <c r="S156" s="871"/>
      <c r="T156" s="871">
        <v>0.4</v>
      </c>
      <c r="U156" s="873">
        <f t="shared" si="63"/>
        <v>1.8039999999999998</v>
      </c>
      <c r="V156" s="873">
        <f t="shared" si="55"/>
        <v>0.54239999999999999</v>
      </c>
      <c r="W156" s="873">
        <f t="shared" si="64"/>
        <v>4.6063999999999998</v>
      </c>
      <c r="X156" s="1018">
        <f t="shared" si="50"/>
        <v>6402.8959999999997</v>
      </c>
    </row>
    <row r="157" spans="1:26" ht="17.25" customHeight="1">
      <c r="A157" s="871"/>
      <c r="B157" s="871"/>
      <c r="C157" s="1353" t="s">
        <v>622</v>
      </c>
      <c r="D157" s="1353"/>
      <c r="E157" s="871"/>
      <c r="F157" s="872"/>
      <c r="G157" s="1025"/>
      <c r="H157" s="1025"/>
      <c r="I157" s="1026"/>
      <c r="J157" s="871"/>
      <c r="K157" s="889"/>
      <c r="L157" s="871"/>
      <c r="M157" s="871"/>
      <c r="N157" s="871"/>
      <c r="O157" s="871"/>
      <c r="P157" s="871"/>
      <c r="Q157" s="871"/>
      <c r="R157" s="873"/>
      <c r="S157" s="871"/>
      <c r="T157" s="871"/>
      <c r="U157" s="873"/>
      <c r="V157" s="873"/>
      <c r="W157" s="873"/>
      <c r="X157" s="1018"/>
    </row>
    <row r="158" spans="1:26" ht="17.25" customHeight="1">
      <c r="A158" s="871">
        <v>129</v>
      </c>
      <c r="B158" s="871">
        <v>1</v>
      </c>
      <c r="C158" s="869" t="s">
        <v>469</v>
      </c>
      <c r="D158" s="870">
        <v>26137</v>
      </c>
      <c r="E158" s="871" t="s">
        <v>60</v>
      </c>
      <c r="F158" s="872">
        <v>3.99</v>
      </c>
      <c r="G158" s="1025" t="s">
        <v>631</v>
      </c>
      <c r="H158" s="1025" t="s">
        <v>637</v>
      </c>
      <c r="I158" s="1026">
        <v>2016</v>
      </c>
      <c r="J158" s="871"/>
      <c r="K158" s="889"/>
      <c r="L158" s="871">
        <v>0.4</v>
      </c>
      <c r="M158" s="871">
        <v>0.3</v>
      </c>
      <c r="N158" s="871"/>
      <c r="O158" s="871"/>
      <c r="P158" s="871">
        <v>0.2</v>
      </c>
      <c r="Q158" s="871">
        <v>40</v>
      </c>
      <c r="R158" s="873">
        <f>SUM(F158+K158+L158)*Q158%</f>
        <v>1.7560000000000002</v>
      </c>
      <c r="S158" s="871"/>
      <c r="T158" s="871">
        <v>0.4</v>
      </c>
      <c r="U158" s="873">
        <f>SUM(K158+L158+M158+N158+O158+P158+R158+S158+T158)</f>
        <v>3.056</v>
      </c>
      <c r="V158" s="873">
        <f t="shared" si="55"/>
        <v>1.0536000000000001</v>
      </c>
      <c r="W158" s="873">
        <f>SUM(F158+U158+V158)</f>
        <v>8.0996000000000006</v>
      </c>
      <c r="X158" s="1018">
        <f t="shared" si="50"/>
        <v>11258.444000000001</v>
      </c>
    </row>
    <row r="159" spans="1:26" ht="17.25" customHeight="1">
      <c r="A159" s="871">
        <v>130</v>
      </c>
      <c r="B159" s="871">
        <v>2</v>
      </c>
      <c r="C159" s="869" t="s">
        <v>623</v>
      </c>
      <c r="D159" s="870">
        <v>22233</v>
      </c>
      <c r="E159" s="871" t="s">
        <v>29</v>
      </c>
      <c r="F159" s="872">
        <v>4.0599999999999996</v>
      </c>
      <c r="G159" s="1025" t="s">
        <v>631</v>
      </c>
      <c r="H159" s="1025" t="s">
        <v>637</v>
      </c>
      <c r="I159" s="1026">
        <v>2018</v>
      </c>
      <c r="J159" s="871">
        <v>9</v>
      </c>
      <c r="K159" s="889">
        <f t="shared" si="54"/>
        <v>0.36539999999999995</v>
      </c>
      <c r="L159" s="871">
        <v>0.3</v>
      </c>
      <c r="M159" s="871">
        <v>0.3</v>
      </c>
      <c r="N159" s="871"/>
      <c r="O159" s="871"/>
      <c r="P159" s="871">
        <v>0.2</v>
      </c>
      <c r="Q159" s="871">
        <v>40</v>
      </c>
      <c r="R159" s="873">
        <f>SUM(F159+K159+L159)*Q159%</f>
        <v>1.8901599999999998</v>
      </c>
      <c r="S159" s="871"/>
      <c r="T159" s="871">
        <v>0.4</v>
      </c>
      <c r="U159" s="873">
        <f>SUM(K159+L159+M159+N159+O159+P159+R159+S159+T159)</f>
        <v>3.4555599999999997</v>
      </c>
      <c r="V159" s="873">
        <f t="shared" si="55"/>
        <v>1.1340959999999998</v>
      </c>
      <c r="W159" s="873">
        <f>SUM(F159+U159+V159)</f>
        <v>8.6496559999999985</v>
      </c>
      <c r="X159" s="1018">
        <f t="shared" si="50"/>
        <v>12023.021839999998</v>
      </c>
    </row>
    <row r="160" spans="1:26" ht="17.25" customHeight="1">
      <c r="A160" s="871">
        <v>131</v>
      </c>
      <c r="B160" s="871">
        <v>3</v>
      </c>
      <c r="C160" s="869" t="s">
        <v>624</v>
      </c>
      <c r="D160" s="870">
        <v>31021</v>
      </c>
      <c r="E160" s="875" t="s">
        <v>60</v>
      </c>
      <c r="F160" s="874">
        <v>2.67</v>
      </c>
      <c r="G160" s="1025" t="s">
        <v>631</v>
      </c>
      <c r="H160" s="1025" t="s">
        <v>636</v>
      </c>
      <c r="I160" s="1026">
        <v>2018</v>
      </c>
      <c r="J160" s="871"/>
      <c r="K160" s="889"/>
      <c r="L160" s="871"/>
      <c r="M160" s="871">
        <v>0.3</v>
      </c>
      <c r="N160" s="871"/>
      <c r="O160" s="871"/>
      <c r="P160" s="871">
        <v>0.2</v>
      </c>
      <c r="Q160" s="871">
        <v>40</v>
      </c>
      <c r="R160" s="873">
        <f>SUM(F160+K160+L160)*Q160%</f>
        <v>1.0680000000000001</v>
      </c>
      <c r="S160" s="871"/>
      <c r="T160" s="871">
        <v>0.4</v>
      </c>
      <c r="U160" s="873">
        <f>SUM(K160+L160+M160+N160+O160+P160+R160+S160+T160)</f>
        <v>1.968</v>
      </c>
      <c r="V160" s="873">
        <f t="shared" si="55"/>
        <v>0.64080000000000004</v>
      </c>
      <c r="W160" s="873">
        <f>SUM(F160+U160+V160)</f>
        <v>5.2788000000000004</v>
      </c>
      <c r="X160" s="1018">
        <f t="shared" si="50"/>
        <v>7337.5320000000002</v>
      </c>
    </row>
    <row r="161" spans="1:29" ht="17.25" customHeight="1">
      <c r="A161" s="871">
        <v>132</v>
      </c>
      <c r="B161" s="871">
        <v>4</v>
      </c>
      <c r="C161" s="869" t="s">
        <v>625</v>
      </c>
      <c r="D161" s="870">
        <v>33143</v>
      </c>
      <c r="E161" s="871" t="s">
        <v>38</v>
      </c>
      <c r="F161" s="875">
        <v>2.06</v>
      </c>
      <c r="G161" s="1025" t="s">
        <v>631</v>
      </c>
      <c r="H161" s="1025" t="s">
        <v>632</v>
      </c>
      <c r="I161" s="1026">
        <v>2018</v>
      </c>
      <c r="J161" s="871"/>
      <c r="K161" s="889"/>
      <c r="L161" s="871"/>
      <c r="M161" s="871">
        <v>0.3</v>
      </c>
      <c r="N161" s="871"/>
      <c r="O161" s="871"/>
      <c r="P161" s="879">
        <v>0.2</v>
      </c>
      <c r="Q161" s="879">
        <v>40</v>
      </c>
      <c r="R161" s="873">
        <f>SUM(F161+K161+L161)*Q161%</f>
        <v>0.82400000000000007</v>
      </c>
      <c r="S161" s="879"/>
      <c r="T161" s="879">
        <v>0.4</v>
      </c>
      <c r="U161" s="873">
        <f>SUM(K161+L161+M161+N161+O161+P161+R161+S161+T161)</f>
        <v>1.7240000000000002</v>
      </c>
      <c r="V161" s="873">
        <f t="shared" si="55"/>
        <v>0.49439999999999995</v>
      </c>
      <c r="W161" s="873">
        <f>SUM(F161+U161+V161)</f>
        <v>4.2784000000000004</v>
      </c>
      <c r="X161" s="1018">
        <f t="shared" si="50"/>
        <v>5946.9760000000006</v>
      </c>
    </row>
    <row r="162" spans="1:29" s="267" customFormat="1" ht="17.25" customHeight="1">
      <c r="A162" s="1019" t="s">
        <v>39</v>
      </c>
      <c r="B162" s="144"/>
      <c r="C162" s="1019"/>
      <c r="D162" s="910"/>
      <c r="E162" s="910"/>
      <c r="F162" s="752">
        <f>SUM(F120:F161)</f>
        <v>112.02</v>
      </c>
      <c r="G162" s="1024"/>
      <c r="H162" s="1024"/>
      <c r="I162" s="1024"/>
      <c r="J162" s="866">
        <f>SUM(J120:J161)</f>
        <v>55</v>
      </c>
      <c r="K162" s="867">
        <f>SUM(K120:K161)</f>
        <v>2.2329999999999997</v>
      </c>
      <c r="L162" s="1020">
        <f>SUM(L120:L161)</f>
        <v>3.8999999999999995</v>
      </c>
      <c r="M162" s="1020">
        <f>SUM(M120:M161)</f>
        <v>11.100000000000005</v>
      </c>
      <c r="N162" s="866"/>
      <c r="O162" s="866"/>
      <c r="P162" s="1020">
        <f>SUM(P120:P161)</f>
        <v>6.2000000000000028</v>
      </c>
      <c r="Q162" s="866">
        <f>SUM(Q120:Q161)</f>
        <v>1550</v>
      </c>
      <c r="R162" s="868">
        <f>SUM(R120:R161)</f>
        <v>49.185200000000002</v>
      </c>
      <c r="S162" s="866"/>
      <c r="T162" s="1020">
        <f>SUM(T120:T161)</f>
        <v>12.400000000000006</v>
      </c>
      <c r="U162" s="868">
        <f>SUM(U120:U161)</f>
        <v>85.018199999999993</v>
      </c>
      <c r="V162" s="868">
        <f>SUM(V120:V161)</f>
        <v>28.356720000000003</v>
      </c>
      <c r="W162" s="868">
        <f>SUM(W120:W161)</f>
        <v>225.39491999999998</v>
      </c>
      <c r="X162" s="1013">
        <f>SUM(X120:X161)</f>
        <v>313298.93880000006</v>
      </c>
      <c r="Y162"/>
      <c r="Z162"/>
      <c r="AA162" s="142"/>
      <c r="AB162" s="142"/>
      <c r="AC162" s="142"/>
    </row>
    <row r="163" spans="1:29" s="141" customFormat="1" ht="19.5" customHeight="1">
      <c r="A163" s="1049" t="s">
        <v>626</v>
      </c>
      <c r="B163" s="369"/>
      <c r="C163" s="1049"/>
      <c r="D163" s="1050"/>
      <c r="E163" s="1050"/>
      <c r="F163" s="1051">
        <f>F162+F117</f>
        <v>414.93000000000012</v>
      </c>
      <c r="G163" s="1052"/>
      <c r="H163" s="1052"/>
      <c r="I163" s="1052"/>
      <c r="J163" s="1053"/>
      <c r="K163" s="1051">
        <f>K162+K117</f>
        <v>6.6989999999999998</v>
      </c>
      <c r="L163" s="1051">
        <f>L162+L117</f>
        <v>13.5</v>
      </c>
      <c r="M163" s="1051">
        <f>M162+M117</f>
        <v>39.600000000000051</v>
      </c>
      <c r="N163" s="1053"/>
      <c r="O163" s="1053"/>
      <c r="P163" s="1051">
        <f>P162+P117</f>
        <v>13.300000000000004</v>
      </c>
      <c r="Q163" s="1051"/>
      <c r="R163" s="1051">
        <f>R162+R117</f>
        <v>188.49667999999991</v>
      </c>
      <c r="S163" s="1053"/>
      <c r="T163" s="1051">
        <f>T162+T117</f>
        <v>12.400000000000006</v>
      </c>
      <c r="U163" s="1051">
        <f>U162+U117</f>
        <v>276.87568000000005</v>
      </c>
      <c r="V163" s="1051">
        <f>V162+V117</f>
        <v>104.37726000000004</v>
      </c>
      <c r="W163" s="1051">
        <f>W162+W117</f>
        <v>796.18294000000003</v>
      </c>
      <c r="X163" s="1051">
        <f>X162+X117</f>
        <v>1106694.2866000002</v>
      </c>
    </row>
    <row r="164" spans="1:29" ht="16.5">
      <c r="A164" s="895"/>
      <c r="B164" s="896"/>
      <c r="C164" s="895" t="s">
        <v>370</v>
      </c>
      <c r="D164" s="895"/>
      <c r="E164" s="895"/>
      <c r="F164" s="895"/>
      <c r="G164" s="1035"/>
      <c r="H164" s="1035"/>
      <c r="I164" s="1035"/>
      <c r="J164" s="895"/>
      <c r="K164" s="895"/>
      <c r="L164" s="895"/>
      <c r="M164" s="896"/>
      <c r="N164" s="896"/>
      <c r="O164" s="896"/>
      <c r="P164" s="1366" t="s">
        <v>677</v>
      </c>
      <c r="Q164" s="1366"/>
      <c r="R164" s="1366"/>
      <c r="S164" s="1366"/>
      <c r="T164" s="1366"/>
      <c r="U164" s="1366"/>
      <c r="V164" s="1366"/>
      <c r="W164" s="1366"/>
      <c r="X164" s="1366"/>
    </row>
    <row r="165" spans="1:29" s="142" customFormat="1" ht="16.5">
      <c r="A165" s="967"/>
      <c r="B165" s="1047"/>
      <c r="C165" s="1342" t="s">
        <v>217</v>
      </c>
      <c r="D165" s="1342"/>
      <c r="E165" s="1342"/>
      <c r="F165" s="1342"/>
      <c r="G165" s="895"/>
      <c r="H165" s="895"/>
      <c r="I165" s="895"/>
      <c r="J165" s="895"/>
      <c r="K165" s="895"/>
      <c r="L165" s="895"/>
      <c r="M165" s="1048" t="s">
        <v>69</v>
      </c>
      <c r="N165" s="1048"/>
      <c r="O165" s="1048"/>
      <c r="P165" s="1367" t="s">
        <v>42</v>
      </c>
      <c r="Q165" s="1367"/>
      <c r="R165" s="1367"/>
      <c r="S165" s="1367"/>
      <c r="T165" s="1367"/>
      <c r="U165" s="1367"/>
      <c r="V165" s="1367"/>
      <c r="W165" s="1367"/>
      <c r="X165" s="1367"/>
    </row>
    <row r="166" spans="1:29" ht="16.5">
      <c r="A166" s="1338" t="s">
        <v>676</v>
      </c>
      <c r="B166" s="1338"/>
      <c r="C166" s="1338"/>
      <c r="D166" s="897"/>
      <c r="E166" s="898"/>
      <c r="F166" s="1343" t="s">
        <v>627</v>
      </c>
      <c r="G166" s="1343"/>
      <c r="H166" s="1343"/>
      <c r="I166" s="1343"/>
      <c r="J166" s="1343"/>
      <c r="K166" s="1343"/>
      <c r="L166" s="899"/>
      <c r="M166" s="899"/>
      <c r="N166" s="899"/>
      <c r="O166" s="899"/>
      <c r="P166" s="1343" t="s">
        <v>45</v>
      </c>
      <c r="Q166" s="1343"/>
      <c r="R166" s="1343"/>
      <c r="S166" s="1343"/>
      <c r="T166" s="1343"/>
      <c r="U166" s="1343" t="s">
        <v>43</v>
      </c>
      <c r="V166" s="1343"/>
      <c r="W166" s="1343"/>
      <c r="X166" s="1343"/>
    </row>
    <row r="167" spans="1:29" ht="16.5">
      <c r="A167" s="897"/>
      <c r="B167" s="897"/>
      <c r="C167" s="897"/>
      <c r="D167" s="897"/>
      <c r="E167" s="898"/>
      <c r="F167" s="861"/>
      <c r="G167" s="1036"/>
      <c r="H167" s="1036"/>
      <c r="I167" s="1036"/>
      <c r="J167" s="861"/>
      <c r="K167" s="861"/>
      <c r="L167" s="861"/>
      <c r="M167" s="861"/>
      <c r="N167" s="861"/>
      <c r="O167" s="861"/>
      <c r="P167" s="861"/>
      <c r="Q167" s="861"/>
      <c r="R167" s="861"/>
      <c r="S167" s="861"/>
      <c r="T167" s="861"/>
      <c r="U167" s="861"/>
      <c r="V167" s="900"/>
      <c r="W167" s="900"/>
      <c r="X167" s="900"/>
    </row>
    <row r="168" spans="1:29" ht="16.5">
      <c r="A168" s="897"/>
      <c r="B168" s="897"/>
      <c r="C168" s="897"/>
      <c r="D168" s="897"/>
      <c r="E168" s="898"/>
      <c r="F168" s="861"/>
      <c r="G168" s="1036"/>
      <c r="H168" s="1036"/>
      <c r="I168" s="1036"/>
      <c r="J168" s="861"/>
      <c r="K168" s="861"/>
      <c r="L168" s="861"/>
      <c r="M168" s="861"/>
      <c r="N168" s="861"/>
      <c r="O168" s="861"/>
      <c r="P168" s="861"/>
      <c r="Q168" s="861"/>
      <c r="R168" s="861"/>
      <c r="S168" s="861"/>
      <c r="T168" s="861"/>
      <c r="U168" s="861"/>
      <c r="V168" s="900"/>
      <c r="W168" s="900"/>
      <c r="X168" s="900"/>
    </row>
    <row r="169" spans="1:29" ht="17.25">
      <c r="A169" s="897"/>
      <c r="B169" s="901"/>
      <c r="C169" s="897"/>
      <c r="D169" s="897"/>
      <c r="E169" s="898"/>
      <c r="F169" s="861"/>
      <c r="G169" s="1036"/>
      <c r="H169" s="1036"/>
      <c r="I169" s="1036"/>
      <c r="J169" s="861"/>
      <c r="K169" s="861"/>
      <c r="L169" s="861"/>
      <c r="M169" s="861"/>
      <c r="N169" s="861"/>
      <c r="O169" s="861"/>
      <c r="P169" s="861"/>
      <c r="Q169" s="861"/>
      <c r="R169" s="861"/>
      <c r="S169" s="861"/>
      <c r="T169" s="861"/>
      <c r="U169" s="861"/>
      <c r="V169" s="900"/>
      <c r="W169" s="900"/>
      <c r="X169" s="900"/>
    </row>
    <row r="170" spans="1:29" ht="17.25">
      <c r="A170" s="901"/>
      <c r="B170" s="902"/>
      <c r="C170" s="902"/>
      <c r="D170" s="902"/>
      <c r="E170" s="902"/>
      <c r="F170" s="860"/>
      <c r="G170" s="1037"/>
      <c r="H170" s="1037"/>
      <c r="I170" s="1037"/>
      <c r="J170" s="903"/>
      <c r="K170" s="903"/>
      <c r="L170" s="899"/>
      <c r="M170" s="899"/>
      <c r="N170" s="903"/>
      <c r="O170" s="903"/>
      <c r="P170" s="902"/>
      <c r="Q170" s="903"/>
      <c r="R170" s="902"/>
      <c r="S170" s="903"/>
      <c r="T170" s="902"/>
      <c r="U170" s="904"/>
      <c r="V170" s="902"/>
      <c r="W170" s="902"/>
      <c r="X170" s="903"/>
    </row>
    <row r="171" spans="1:29" ht="16.5">
      <c r="A171" s="902"/>
      <c r="B171" s="905"/>
      <c r="C171" s="902"/>
      <c r="D171" s="902"/>
      <c r="E171" s="902"/>
      <c r="F171" s="902"/>
      <c r="G171" s="1038"/>
      <c r="H171" s="1038"/>
      <c r="I171" s="1038"/>
      <c r="J171" s="902"/>
      <c r="K171" s="902"/>
      <c r="L171" s="902"/>
      <c r="M171" s="902"/>
      <c r="N171" s="902"/>
      <c r="O171" s="902"/>
      <c r="P171" s="902"/>
      <c r="Q171" s="902"/>
      <c r="R171" s="902"/>
      <c r="S171" s="902"/>
      <c r="T171" s="902"/>
      <c r="U171" s="902"/>
      <c r="V171" s="902"/>
      <c r="W171" s="902"/>
      <c r="X171" s="902"/>
    </row>
    <row r="172" spans="1:29" ht="16.5">
      <c r="A172" s="1339" t="s">
        <v>46</v>
      </c>
      <c r="B172" s="1339"/>
      <c r="C172" s="1339"/>
      <c r="D172" s="905"/>
      <c r="E172" s="906"/>
      <c r="F172" s="1339" t="s">
        <v>356</v>
      </c>
      <c r="G172" s="1339"/>
      <c r="H172" s="1339"/>
      <c r="I172" s="1339"/>
      <c r="J172" s="1339"/>
      <c r="K172" s="1339"/>
      <c r="L172" s="907"/>
      <c r="M172" s="907"/>
      <c r="N172" s="906"/>
      <c r="O172" s="907"/>
      <c r="P172" s="1339" t="s">
        <v>222</v>
      </c>
      <c r="Q172" s="1339"/>
      <c r="R172" s="1339"/>
      <c r="S172" s="1339"/>
      <c r="T172" s="1339"/>
      <c r="U172" s="1339" t="s">
        <v>49</v>
      </c>
      <c r="V172" s="1339"/>
      <c r="W172" s="1339"/>
      <c r="X172" s="1339"/>
    </row>
    <row r="173" spans="1:29" ht="16.5">
      <c r="A173" s="902"/>
      <c r="C173" s="902"/>
      <c r="D173" s="902"/>
      <c r="E173" s="902"/>
      <c r="F173" s="902"/>
      <c r="G173" s="1038"/>
      <c r="H173" s="1038"/>
      <c r="I173" s="1038"/>
      <c r="J173" s="902"/>
      <c r="K173" s="902"/>
      <c r="L173" s="902"/>
      <c r="M173" s="902"/>
      <c r="N173" s="902"/>
      <c r="O173" s="902"/>
      <c r="P173" s="902"/>
      <c r="Q173" s="902"/>
      <c r="R173" s="902"/>
      <c r="S173" s="902"/>
      <c r="T173" s="902"/>
      <c r="U173" s="902"/>
      <c r="V173" s="902"/>
      <c r="W173" s="902"/>
      <c r="X173" s="902"/>
    </row>
    <row r="182" spans="1:26" s="13" customFormat="1" ht="17.25" customHeight="1">
      <c r="A182" s="871">
        <v>87</v>
      </c>
      <c r="B182" s="871">
        <v>1</v>
      </c>
      <c r="C182" s="869" t="s">
        <v>172</v>
      </c>
      <c r="D182" s="870">
        <v>32144</v>
      </c>
      <c r="E182" s="871" t="s">
        <v>173</v>
      </c>
      <c r="F182" s="872">
        <v>2.34</v>
      </c>
      <c r="G182" s="1028">
        <v>5</v>
      </c>
      <c r="H182" s="1028">
        <v>11</v>
      </c>
      <c r="I182" s="1028">
        <v>2015</v>
      </c>
      <c r="J182" s="871"/>
      <c r="K182" s="871"/>
      <c r="L182" s="871"/>
      <c r="M182" s="871">
        <v>0.3</v>
      </c>
      <c r="N182" s="871"/>
      <c r="O182" s="871"/>
      <c r="P182" s="879">
        <v>0.2</v>
      </c>
      <c r="Q182" s="871">
        <v>40</v>
      </c>
      <c r="R182" s="873">
        <f t="shared" ref="R182:R185" si="65">SUM(F182+K182+L182)*Q182%</f>
        <v>0.93599999999999994</v>
      </c>
      <c r="S182" s="871"/>
      <c r="T182" s="871"/>
      <c r="U182" s="873">
        <f t="shared" ref="U182:U194" si="66">SUM(K182+L182+M182+N182+O182+P182+R182+S182+T182)</f>
        <v>1.4359999999999999</v>
      </c>
      <c r="V182" s="873">
        <f t="shared" ref="V182:V197" si="67">SUM(F182+K182+L182+S182)*24/100</f>
        <v>0.56159999999999999</v>
      </c>
      <c r="W182" s="873">
        <f t="shared" ref="W182:W185" si="68">SUM(F182+U182+V182)</f>
        <v>4.3376000000000001</v>
      </c>
      <c r="X182" s="1015">
        <f t="shared" ref="X182:X197" si="69">SUM(W182)*1390</f>
        <v>6029.2640000000001</v>
      </c>
    </row>
    <row r="183" spans="1:26" s="13" customFormat="1" ht="17.25" customHeight="1">
      <c r="A183" s="871">
        <v>114</v>
      </c>
      <c r="B183" s="871">
        <v>2</v>
      </c>
      <c r="C183" s="869" t="s">
        <v>607</v>
      </c>
      <c r="D183" s="870">
        <v>26378</v>
      </c>
      <c r="E183" s="871" t="s">
        <v>38</v>
      </c>
      <c r="F183" s="872">
        <v>2.66</v>
      </c>
      <c r="G183" s="1025" t="s">
        <v>631</v>
      </c>
      <c r="H183" s="1025" t="s">
        <v>638</v>
      </c>
      <c r="I183" s="1026">
        <v>2017</v>
      </c>
      <c r="J183" s="871"/>
      <c r="K183" s="889"/>
      <c r="L183" s="871"/>
      <c r="M183" s="871">
        <v>0.3</v>
      </c>
      <c r="N183" s="871"/>
      <c r="O183" s="871"/>
      <c r="P183" s="871">
        <v>0.2</v>
      </c>
      <c r="Q183" s="871">
        <v>70</v>
      </c>
      <c r="R183" s="873">
        <f t="shared" si="65"/>
        <v>1.8619999999999999</v>
      </c>
      <c r="S183" s="871"/>
      <c r="T183" s="871">
        <v>0.4</v>
      </c>
      <c r="U183" s="873">
        <f t="shared" si="66"/>
        <v>2.762</v>
      </c>
      <c r="V183" s="873">
        <f t="shared" si="67"/>
        <v>0.63840000000000008</v>
      </c>
      <c r="W183" s="873">
        <f t="shared" si="68"/>
        <v>6.0604000000000005</v>
      </c>
      <c r="X183" s="1018">
        <f t="shared" si="69"/>
        <v>8423.9560000000001</v>
      </c>
    </row>
    <row r="184" spans="1:26" s="13" customFormat="1" ht="17.25" customHeight="1">
      <c r="A184" s="871">
        <v>116</v>
      </c>
      <c r="B184" s="871">
        <v>3</v>
      </c>
      <c r="C184" s="869" t="s">
        <v>608</v>
      </c>
      <c r="D184" s="870">
        <v>29718</v>
      </c>
      <c r="E184" s="871" t="s">
        <v>206</v>
      </c>
      <c r="F184" s="874">
        <v>3.06</v>
      </c>
      <c r="G184" s="1032" t="s">
        <v>631</v>
      </c>
      <c r="H184" s="1032" t="s">
        <v>634</v>
      </c>
      <c r="I184" s="1033">
        <v>2017</v>
      </c>
      <c r="J184" s="871"/>
      <c r="K184" s="889"/>
      <c r="L184" s="871"/>
      <c r="M184" s="871">
        <v>0.3</v>
      </c>
      <c r="N184" s="871"/>
      <c r="O184" s="871"/>
      <c r="P184" s="871">
        <v>0.2</v>
      </c>
      <c r="Q184" s="871">
        <v>70</v>
      </c>
      <c r="R184" s="873">
        <f t="shared" si="65"/>
        <v>2.1419999999999999</v>
      </c>
      <c r="S184" s="871"/>
      <c r="T184" s="871">
        <v>0.4</v>
      </c>
      <c r="U184" s="873">
        <f t="shared" si="66"/>
        <v>3.0419999999999998</v>
      </c>
      <c r="V184" s="873">
        <f t="shared" si="67"/>
        <v>0.73439999999999994</v>
      </c>
      <c r="W184" s="873">
        <f t="shared" si="68"/>
        <v>6.8364000000000003</v>
      </c>
      <c r="X184" s="1018">
        <f t="shared" si="69"/>
        <v>9502.5959999999995</v>
      </c>
    </row>
    <row r="185" spans="1:26" s="13" customFormat="1" ht="17.25" customHeight="1">
      <c r="A185" s="871">
        <v>57</v>
      </c>
      <c r="B185" s="871">
        <v>4</v>
      </c>
      <c r="C185" s="869" t="s">
        <v>547</v>
      </c>
      <c r="D185" s="870">
        <v>30873</v>
      </c>
      <c r="E185" s="871" t="s">
        <v>29</v>
      </c>
      <c r="F185" s="872">
        <v>2.67</v>
      </c>
      <c r="G185" s="1028">
        <v>7</v>
      </c>
      <c r="H185" s="1028">
        <v>10</v>
      </c>
      <c r="I185" s="1028">
        <v>2015</v>
      </c>
      <c r="J185" s="871"/>
      <c r="K185" s="871"/>
      <c r="L185" s="871"/>
      <c r="M185" s="871">
        <v>0.3</v>
      </c>
      <c r="N185" s="871"/>
      <c r="O185" s="871"/>
      <c r="P185" s="871"/>
      <c r="Q185" s="871">
        <v>40</v>
      </c>
      <c r="R185" s="873">
        <f t="shared" si="65"/>
        <v>1.0680000000000001</v>
      </c>
      <c r="S185" s="871"/>
      <c r="T185" s="871"/>
      <c r="U185" s="873">
        <f t="shared" si="66"/>
        <v>1.3680000000000001</v>
      </c>
      <c r="V185" s="873">
        <f t="shared" si="67"/>
        <v>0.64080000000000004</v>
      </c>
      <c r="W185" s="873">
        <f t="shared" si="68"/>
        <v>4.6788000000000007</v>
      </c>
      <c r="X185" s="1015">
        <f t="shared" si="69"/>
        <v>6503.5320000000011</v>
      </c>
    </row>
    <row r="186" spans="1:26" s="13" customFormat="1" ht="17.25" customHeight="1">
      <c r="A186" s="871">
        <v>50</v>
      </c>
      <c r="B186" s="871">
        <v>5</v>
      </c>
      <c r="C186" s="869" t="s">
        <v>286</v>
      </c>
      <c r="D186" s="871" t="s">
        <v>287</v>
      </c>
      <c r="E186" s="871" t="s">
        <v>36</v>
      </c>
      <c r="F186" s="874">
        <v>2.46</v>
      </c>
      <c r="G186" s="1028">
        <v>1</v>
      </c>
      <c r="H186" s="1028">
        <v>4</v>
      </c>
      <c r="I186" s="1028">
        <v>2016</v>
      </c>
      <c r="J186" s="871"/>
      <c r="K186" s="871"/>
      <c r="L186" s="871"/>
      <c r="M186" s="871">
        <v>0.3</v>
      </c>
      <c r="N186" s="871">
        <v>0.1</v>
      </c>
      <c r="O186" s="871"/>
      <c r="P186" s="871"/>
      <c r="Q186" s="871">
        <v>40</v>
      </c>
      <c r="R186" s="873">
        <f>SUM(F186+K186+L186)*Q186%</f>
        <v>0.98399999999999999</v>
      </c>
      <c r="S186" s="871"/>
      <c r="T186" s="871"/>
      <c r="U186" s="873">
        <f t="shared" si="66"/>
        <v>1.3839999999999999</v>
      </c>
      <c r="V186" s="873">
        <f t="shared" si="67"/>
        <v>0.59040000000000004</v>
      </c>
      <c r="W186" s="873">
        <f>SUM(F186+U186+V186)</f>
        <v>4.4344000000000001</v>
      </c>
      <c r="X186" s="1015">
        <f t="shared" si="69"/>
        <v>6163.8159999999998</v>
      </c>
      <c r="Y186" s="1011"/>
      <c r="Z186" s="912"/>
    </row>
    <row r="187" spans="1:26" s="13" customFormat="1" ht="17.25" customHeight="1">
      <c r="A187" s="871">
        <v>75</v>
      </c>
      <c r="B187" s="871">
        <v>6</v>
      </c>
      <c r="C187" s="869" t="s">
        <v>91</v>
      </c>
      <c r="D187" s="871" t="s">
        <v>568</v>
      </c>
      <c r="E187" s="871" t="s">
        <v>29</v>
      </c>
      <c r="F187" s="872">
        <v>4.0599999999999996</v>
      </c>
      <c r="G187" s="1028">
        <v>1</v>
      </c>
      <c r="H187" s="1028">
        <v>12</v>
      </c>
      <c r="I187" s="1028">
        <v>2018</v>
      </c>
      <c r="J187" s="871">
        <v>9</v>
      </c>
      <c r="K187" s="871">
        <f t="shared" ref="K187" si="70">SUM(F187*J187%)</f>
        <v>0.36539999999999995</v>
      </c>
      <c r="L187" s="871"/>
      <c r="M187" s="871">
        <v>0.3</v>
      </c>
      <c r="N187" s="871"/>
      <c r="O187" s="871"/>
      <c r="P187" s="871"/>
      <c r="Q187" s="871">
        <v>40</v>
      </c>
      <c r="R187" s="873">
        <f t="shared" ref="R187:R188" si="71">SUM(F187+K187+L187)*Q187%</f>
        <v>1.77016</v>
      </c>
      <c r="S187" s="871"/>
      <c r="T187" s="871"/>
      <c r="U187" s="873">
        <f t="shared" si="66"/>
        <v>2.4355599999999997</v>
      </c>
      <c r="V187" s="873">
        <f t="shared" si="67"/>
        <v>1.0620959999999999</v>
      </c>
      <c r="W187" s="873">
        <f t="shared" ref="W187:W194" si="72">SUM(F187+U187+V187)</f>
        <v>7.5576559999999997</v>
      </c>
      <c r="X187" s="1015">
        <f t="shared" si="69"/>
        <v>10505.14184</v>
      </c>
    </row>
    <row r="188" spans="1:26" s="13" customFormat="1" ht="17.25" customHeight="1">
      <c r="A188" s="871">
        <v>77</v>
      </c>
      <c r="B188" s="871">
        <v>7</v>
      </c>
      <c r="C188" s="869" t="s">
        <v>571</v>
      </c>
      <c r="D188" s="871" t="s">
        <v>572</v>
      </c>
      <c r="E188" s="871" t="s">
        <v>31</v>
      </c>
      <c r="F188" s="874">
        <v>3.33</v>
      </c>
      <c r="G188" s="1028">
        <v>1</v>
      </c>
      <c r="H188" s="1028">
        <v>1</v>
      </c>
      <c r="I188" s="1028">
        <v>2018</v>
      </c>
      <c r="J188" s="871"/>
      <c r="K188" s="871"/>
      <c r="L188" s="871">
        <v>0.3</v>
      </c>
      <c r="M188" s="871">
        <v>0.3</v>
      </c>
      <c r="N188" s="871"/>
      <c r="O188" s="871"/>
      <c r="P188" s="871">
        <v>0.4</v>
      </c>
      <c r="Q188" s="871">
        <v>40</v>
      </c>
      <c r="R188" s="873">
        <f t="shared" si="71"/>
        <v>1.452</v>
      </c>
      <c r="S188" s="871"/>
      <c r="T188" s="871"/>
      <c r="U188" s="873">
        <f t="shared" si="66"/>
        <v>2.452</v>
      </c>
      <c r="V188" s="873">
        <f t="shared" si="67"/>
        <v>0.87120000000000009</v>
      </c>
      <c r="W188" s="873">
        <f t="shared" si="72"/>
        <v>6.6532</v>
      </c>
      <c r="X188" s="1015">
        <f t="shared" si="69"/>
        <v>9247.9480000000003</v>
      </c>
    </row>
    <row r="189" spans="1:26" s="13" customFormat="1" ht="17.25" customHeight="1">
      <c r="A189" s="871">
        <v>111</v>
      </c>
      <c r="B189" s="871">
        <v>8</v>
      </c>
      <c r="C189" s="869" t="s">
        <v>178</v>
      </c>
      <c r="D189" s="870">
        <v>33601</v>
      </c>
      <c r="E189" s="871" t="s">
        <v>60</v>
      </c>
      <c r="F189" s="872">
        <v>2.34</v>
      </c>
      <c r="G189" s="1025" t="s">
        <v>631</v>
      </c>
      <c r="H189" s="1025" t="s">
        <v>641</v>
      </c>
      <c r="I189" s="1026">
        <v>2016</v>
      </c>
      <c r="J189" s="871"/>
      <c r="K189" s="889"/>
      <c r="L189" s="871">
        <v>0.3</v>
      </c>
      <c r="M189" s="871">
        <v>0.3</v>
      </c>
      <c r="N189" s="871"/>
      <c r="O189" s="871"/>
      <c r="P189" s="871">
        <v>0.2</v>
      </c>
      <c r="Q189" s="871">
        <v>40</v>
      </c>
      <c r="R189" s="873">
        <f>SUM(F189+K189+L189)*Q189%</f>
        <v>1.0559999999999998</v>
      </c>
      <c r="S189" s="871"/>
      <c r="T189" s="871">
        <v>0.4</v>
      </c>
      <c r="U189" s="873">
        <f>SUM(K189+L189+M189+N189+O189+P189+R189+S189+T189)</f>
        <v>2.2559999999999998</v>
      </c>
      <c r="V189" s="873">
        <f>SUM(F189+K189+L189+S189)*24/100</f>
        <v>0.63359999999999994</v>
      </c>
      <c r="W189" s="873">
        <f>SUM(F189+U189+V189)</f>
        <v>5.2295999999999996</v>
      </c>
      <c r="X189" s="1018">
        <f>SUM(W189)*1390</f>
        <v>7269.1439999999993</v>
      </c>
    </row>
    <row r="190" spans="1:26" s="13" customFormat="1" ht="17.25" customHeight="1">
      <c r="A190" s="871">
        <v>97</v>
      </c>
      <c r="B190" s="871">
        <v>9</v>
      </c>
      <c r="C190" s="869" t="s">
        <v>594</v>
      </c>
      <c r="D190" s="870" t="s">
        <v>595</v>
      </c>
      <c r="E190" s="871" t="s">
        <v>596</v>
      </c>
      <c r="F190" s="872">
        <v>3</v>
      </c>
      <c r="G190" s="1025" t="s">
        <v>631</v>
      </c>
      <c r="H190" s="1025" t="s">
        <v>637</v>
      </c>
      <c r="I190" s="1026">
        <v>2018</v>
      </c>
      <c r="J190" s="871"/>
      <c r="K190" s="889"/>
      <c r="L190" s="871">
        <v>0.3</v>
      </c>
      <c r="M190" s="871">
        <v>0.3</v>
      </c>
      <c r="N190" s="871"/>
      <c r="O190" s="871"/>
      <c r="P190" s="871"/>
      <c r="Q190" s="871"/>
      <c r="R190" s="873"/>
      <c r="S190" s="871"/>
      <c r="T190" s="871"/>
      <c r="U190" s="873">
        <f t="shared" si="66"/>
        <v>0.6</v>
      </c>
      <c r="V190" s="873">
        <f t="shared" si="67"/>
        <v>0.79199999999999993</v>
      </c>
      <c r="W190" s="873">
        <f t="shared" si="72"/>
        <v>4.3920000000000003</v>
      </c>
      <c r="X190" s="1018">
        <f t="shared" si="69"/>
        <v>6104.88</v>
      </c>
    </row>
    <row r="191" spans="1:26" s="13" customFormat="1" ht="17.25" customHeight="1">
      <c r="A191" s="871">
        <v>10</v>
      </c>
      <c r="B191" s="871">
        <v>10</v>
      </c>
      <c r="C191" s="869" t="s">
        <v>505</v>
      </c>
      <c r="D191" s="870">
        <v>26368</v>
      </c>
      <c r="E191" s="876" t="s">
        <v>206</v>
      </c>
      <c r="F191" s="872">
        <v>2.91</v>
      </c>
      <c r="G191" s="1028">
        <v>1</v>
      </c>
      <c r="H191" s="1028">
        <v>7</v>
      </c>
      <c r="I191" s="1028">
        <v>2015</v>
      </c>
      <c r="J191" s="871"/>
      <c r="K191" s="871"/>
      <c r="L191" s="871">
        <v>0.3</v>
      </c>
      <c r="M191" s="871">
        <v>0.3</v>
      </c>
      <c r="N191" s="871"/>
      <c r="O191" s="871"/>
      <c r="P191" s="871">
        <v>0.2</v>
      </c>
      <c r="Q191" s="871">
        <v>40</v>
      </c>
      <c r="R191" s="873">
        <f>SUM(F191+K191+L191)*Q191%</f>
        <v>1.284</v>
      </c>
      <c r="S191" s="871"/>
      <c r="T191" s="871"/>
      <c r="U191" s="873">
        <f>SUM(K191+L191+M191+N191+O191+P191+R191+S191+T191)</f>
        <v>2.0840000000000001</v>
      </c>
      <c r="V191" s="873">
        <f t="shared" si="67"/>
        <v>0.77039999999999997</v>
      </c>
      <c r="W191" s="873">
        <f>SUM(F191+U191+V191)</f>
        <v>5.7644000000000002</v>
      </c>
      <c r="X191" s="1015">
        <f t="shared" si="69"/>
        <v>8012.5160000000005</v>
      </c>
      <c r="Y191" s="1011"/>
      <c r="Z191" s="912"/>
    </row>
    <row r="192" spans="1:26" s="13" customFormat="1" ht="17.25" customHeight="1">
      <c r="A192" s="871">
        <v>85</v>
      </c>
      <c r="B192" s="871">
        <v>11</v>
      </c>
      <c r="C192" s="869" t="s">
        <v>586</v>
      </c>
      <c r="D192" s="870">
        <v>24360</v>
      </c>
      <c r="E192" s="871" t="s">
        <v>34</v>
      </c>
      <c r="F192" s="874">
        <v>3.86</v>
      </c>
      <c r="G192" s="1028">
        <v>1</v>
      </c>
      <c r="H192" s="1028">
        <v>5</v>
      </c>
      <c r="I192" s="1028">
        <v>2018</v>
      </c>
      <c r="J192" s="871"/>
      <c r="K192" s="871"/>
      <c r="L192" s="871">
        <v>0.4</v>
      </c>
      <c r="M192" s="871">
        <v>0.3</v>
      </c>
      <c r="N192" s="871"/>
      <c r="O192" s="871"/>
      <c r="P192" s="871"/>
      <c r="Q192" s="871">
        <v>40</v>
      </c>
      <c r="R192" s="873">
        <f t="shared" ref="R192:R194" si="73">SUM(F192+K192+L192)*Q192%</f>
        <v>1.704</v>
      </c>
      <c r="S192" s="871"/>
      <c r="T192" s="871"/>
      <c r="U192" s="873">
        <f t="shared" si="66"/>
        <v>2.4039999999999999</v>
      </c>
      <c r="V192" s="873">
        <f t="shared" si="67"/>
        <v>1.0224</v>
      </c>
      <c r="W192" s="873">
        <f t="shared" si="72"/>
        <v>7.2863999999999995</v>
      </c>
      <c r="X192" s="1015">
        <f t="shared" si="69"/>
        <v>10128.096</v>
      </c>
    </row>
    <row r="193" spans="1:26" s="13" customFormat="1" ht="17.25" customHeight="1">
      <c r="A193" s="871">
        <v>86</v>
      </c>
      <c r="B193" s="871">
        <v>12</v>
      </c>
      <c r="C193" s="869" t="s">
        <v>169</v>
      </c>
      <c r="D193" s="871" t="s">
        <v>587</v>
      </c>
      <c r="E193" s="871" t="s">
        <v>34</v>
      </c>
      <c r="F193" s="872">
        <v>3.86</v>
      </c>
      <c r="G193" s="1028">
        <v>1</v>
      </c>
      <c r="H193" s="1028">
        <v>5</v>
      </c>
      <c r="I193" s="1028">
        <v>2015</v>
      </c>
      <c r="J193" s="871"/>
      <c r="K193" s="871"/>
      <c r="L193" s="871">
        <v>0.3</v>
      </c>
      <c r="M193" s="871">
        <v>0.3</v>
      </c>
      <c r="N193" s="871"/>
      <c r="O193" s="871"/>
      <c r="P193" s="879"/>
      <c r="Q193" s="871">
        <v>40</v>
      </c>
      <c r="R193" s="873">
        <f t="shared" si="73"/>
        <v>1.6640000000000001</v>
      </c>
      <c r="S193" s="871"/>
      <c r="T193" s="871"/>
      <c r="U193" s="873">
        <f t="shared" si="66"/>
        <v>2.2640000000000002</v>
      </c>
      <c r="V193" s="873">
        <f t="shared" si="67"/>
        <v>0.99840000000000007</v>
      </c>
      <c r="W193" s="873">
        <f t="shared" si="72"/>
        <v>7.1224000000000007</v>
      </c>
      <c r="X193" s="1015">
        <f t="shared" si="69"/>
        <v>9900.1360000000004</v>
      </c>
    </row>
    <row r="194" spans="1:26" s="13" customFormat="1" ht="17.25" customHeight="1">
      <c r="A194" s="871">
        <v>55</v>
      </c>
      <c r="B194" s="871">
        <v>13</v>
      </c>
      <c r="C194" s="869" t="s">
        <v>207</v>
      </c>
      <c r="D194" s="870">
        <v>24752</v>
      </c>
      <c r="E194" s="871" t="s">
        <v>29</v>
      </c>
      <c r="F194" s="872">
        <v>4.0599999999999996</v>
      </c>
      <c r="G194" s="1028">
        <v>1</v>
      </c>
      <c r="H194" s="1028">
        <v>6</v>
      </c>
      <c r="I194" s="1028">
        <v>2018</v>
      </c>
      <c r="J194" s="875">
        <v>9</v>
      </c>
      <c r="K194" s="871">
        <f t="shared" ref="K194" si="74">SUM(F194*J194%)</f>
        <v>0.36539999999999995</v>
      </c>
      <c r="L194" s="871">
        <v>0.3</v>
      </c>
      <c r="M194" s="871">
        <v>0.3</v>
      </c>
      <c r="N194" s="871"/>
      <c r="O194" s="871"/>
      <c r="P194" s="871"/>
      <c r="Q194" s="871">
        <v>40</v>
      </c>
      <c r="R194" s="873">
        <f t="shared" si="73"/>
        <v>1.8901599999999998</v>
      </c>
      <c r="S194" s="871"/>
      <c r="T194" s="871"/>
      <c r="U194" s="873">
        <f t="shared" si="66"/>
        <v>2.8555599999999997</v>
      </c>
      <c r="V194" s="873">
        <f t="shared" si="67"/>
        <v>1.1340959999999998</v>
      </c>
      <c r="W194" s="873">
        <f t="shared" si="72"/>
        <v>8.0496559999999988</v>
      </c>
      <c r="X194" s="1015">
        <f t="shared" si="69"/>
        <v>11189.021839999998</v>
      </c>
    </row>
    <row r="195" spans="1:26" s="13" customFormat="1" ht="17.25" customHeight="1">
      <c r="A195" s="871">
        <v>130</v>
      </c>
      <c r="B195" s="871">
        <v>14</v>
      </c>
      <c r="C195" s="869" t="s">
        <v>623</v>
      </c>
      <c r="D195" s="870">
        <v>22233</v>
      </c>
      <c r="E195" s="871" t="s">
        <v>29</v>
      </c>
      <c r="F195" s="872">
        <v>4.0599999999999996</v>
      </c>
      <c r="G195" s="1025" t="s">
        <v>631</v>
      </c>
      <c r="H195" s="1025" t="s">
        <v>637</v>
      </c>
      <c r="I195" s="1026">
        <v>2018</v>
      </c>
      <c r="J195" s="871">
        <v>9</v>
      </c>
      <c r="K195" s="889">
        <f t="shared" ref="K195" si="75">SUM(F195)*J195%</f>
        <v>0.36539999999999995</v>
      </c>
      <c r="L195" s="871">
        <v>0.3</v>
      </c>
      <c r="M195" s="871">
        <v>0.3</v>
      </c>
      <c r="N195" s="871"/>
      <c r="O195" s="871"/>
      <c r="P195" s="871">
        <v>0.2</v>
      </c>
      <c r="Q195" s="871">
        <v>40</v>
      </c>
      <c r="R195" s="873">
        <f>SUM(F195+K195+L195)*Q195%</f>
        <v>1.8901599999999998</v>
      </c>
      <c r="S195" s="871"/>
      <c r="T195" s="871">
        <v>0.4</v>
      </c>
      <c r="U195" s="873">
        <f>SUM(K195+L195+M195+N195+O195+P195+R195+S195+T195)</f>
        <v>3.4555599999999997</v>
      </c>
      <c r="V195" s="873">
        <f t="shared" si="67"/>
        <v>1.1340959999999998</v>
      </c>
      <c r="W195" s="873">
        <f>SUM(F195+U195+V195)</f>
        <v>8.6496559999999985</v>
      </c>
      <c r="X195" s="1018">
        <f t="shared" si="69"/>
        <v>12023.021839999998</v>
      </c>
    </row>
    <row r="196" spans="1:26" s="13" customFormat="1" ht="17.25" customHeight="1">
      <c r="A196" s="871">
        <v>76</v>
      </c>
      <c r="B196" s="871">
        <v>15</v>
      </c>
      <c r="C196" s="869" t="s">
        <v>570</v>
      </c>
      <c r="D196" s="870">
        <v>26487</v>
      </c>
      <c r="E196" s="871" t="s">
        <v>206</v>
      </c>
      <c r="F196" s="872">
        <v>4.0599999999999996</v>
      </c>
      <c r="G196" s="1028">
        <v>1</v>
      </c>
      <c r="H196" s="1028">
        <v>11</v>
      </c>
      <c r="I196" s="1028">
        <v>2018</v>
      </c>
      <c r="J196" s="871">
        <v>7</v>
      </c>
      <c r="K196" s="871">
        <f t="shared" ref="K196" si="76">SUM(F196*J196%)</f>
        <v>0.28420000000000001</v>
      </c>
      <c r="L196" s="871">
        <v>0.4</v>
      </c>
      <c r="M196" s="871">
        <v>0.3</v>
      </c>
      <c r="N196" s="871"/>
      <c r="O196" s="871"/>
      <c r="P196" s="871">
        <v>0.3</v>
      </c>
      <c r="Q196" s="871">
        <v>70</v>
      </c>
      <c r="R196" s="873">
        <f t="shared" ref="R196" si="77">SUM(F196+K196+L196)*Q196%</f>
        <v>3.3209399999999998</v>
      </c>
      <c r="S196" s="871"/>
      <c r="T196" s="871"/>
      <c r="U196" s="873">
        <f t="shared" ref="U196" si="78">SUM(K196+L196+M196+N196+O196+P196+R196+S196+T196)</f>
        <v>4.6051399999999996</v>
      </c>
      <c r="V196" s="873">
        <f t="shared" si="67"/>
        <v>1.1386080000000001</v>
      </c>
      <c r="W196" s="873">
        <f t="shared" ref="W196:W197" si="79">SUM(F196+U196+V196)</f>
        <v>9.8037479999999988</v>
      </c>
      <c r="X196" s="1015">
        <f t="shared" si="69"/>
        <v>13627.209719999999</v>
      </c>
    </row>
    <row r="197" spans="1:26" s="13" customFormat="1" ht="17.25" customHeight="1">
      <c r="A197" s="871">
        <v>9</v>
      </c>
      <c r="B197" s="871">
        <v>16</v>
      </c>
      <c r="C197" s="869" t="s">
        <v>222</v>
      </c>
      <c r="D197" s="871" t="s">
        <v>504</v>
      </c>
      <c r="E197" s="871" t="s">
        <v>29</v>
      </c>
      <c r="F197" s="916">
        <v>4.0599999999999996</v>
      </c>
      <c r="G197" s="1029">
        <v>1</v>
      </c>
      <c r="H197" s="1029">
        <v>7</v>
      </c>
      <c r="I197" s="1029">
        <v>2018</v>
      </c>
      <c r="J197" s="875">
        <v>6</v>
      </c>
      <c r="K197" s="871">
        <f>F197*J197%</f>
        <v>0.24359999999999996</v>
      </c>
      <c r="L197" s="871">
        <v>0.4</v>
      </c>
      <c r="M197" s="871">
        <v>0.3</v>
      </c>
      <c r="N197" s="871">
        <v>0</v>
      </c>
      <c r="O197" s="871">
        <v>0</v>
      </c>
      <c r="P197" s="871">
        <v>0</v>
      </c>
      <c r="Q197" s="871">
        <v>40</v>
      </c>
      <c r="R197" s="873">
        <f>SUM(F197+K197+L197)*Q197%</f>
        <v>1.88144</v>
      </c>
      <c r="S197" s="871">
        <v>0</v>
      </c>
      <c r="T197" s="871">
        <v>0</v>
      </c>
      <c r="U197" s="873">
        <f>SUM(K197+L197+M197+N197+O197+P197+R197+S197+T197)</f>
        <v>2.82504</v>
      </c>
      <c r="V197" s="873">
        <f t="shared" si="67"/>
        <v>1.1288639999999999</v>
      </c>
      <c r="W197" s="873">
        <f t="shared" si="79"/>
        <v>8.0139040000000001</v>
      </c>
      <c r="X197" s="1015">
        <f t="shared" si="69"/>
        <v>11139.32656</v>
      </c>
      <c r="Y197" s="1011"/>
      <c r="Z197" s="912"/>
    </row>
    <row r="218" spans="25:26">
      <c r="Y218" s="267"/>
      <c r="Z218" s="267"/>
    </row>
    <row r="227" spans="27:29">
      <c r="AA227" s="267"/>
      <c r="AB227" s="267"/>
      <c r="AC227" s="267"/>
    </row>
  </sheetData>
  <mergeCells count="57">
    <mergeCell ref="P172:T172"/>
    <mergeCell ref="U172:X172"/>
    <mergeCell ref="C146:D146"/>
    <mergeCell ref="C157:D157"/>
    <mergeCell ref="P164:X164"/>
    <mergeCell ref="P165:X165"/>
    <mergeCell ref="P166:T166"/>
    <mergeCell ref="U166:X166"/>
    <mergeCell ref="C20:D20"/>
    <mergeCell ref="C25:D25"/>
    <mergeCell ref="C136:D136"/>
    <mergeCell ref="C33:D33"/>
    <mergeCell ref="C49:D49"/>
    <mergeCell ref="C70:D70"/>
    <mergeCell ref="C81:D81"/>
    <mergeCell ref="C94:D94"/>
    <mergeCell ref="C104:D104"/>
    <mergeCell ref="C112:D112"/>
    <mergeCell ref="C118:D118"/>
    <mergeCell ref="C119:D119"/>
    <mergeCell ref="C121:D121"/>
    <mergeCell ref="C128:D128"/>
    <mergeCell ref="V6:V8"/>
    <mergeCell ref="W6:W8"/>
    <mergeCell ref="X6:X8"/>
    <mergeCell ref="J7:K7"/>
    <mergeCell ref="L7:L8"/>
    <mergeCell ref="M7:M8"/>
    <mergeCell ref="N7:N8"/>
    <mergeCell ref="O7:O8"/>
    <mergeCell ref="P7:P8"/>
    <mergeCell ref="Q7:R7"/>
    <mergeCell ref="J6:U6"/>
    <mergeCell ref="S7:S8"/>
    <mergeCell ref="T7:T8"/>
    <mergeCell ref="U7:U8"/>
    <mergeCell ref="Q1:X1"/>
    <mergeCell ref="Q2:X2"/>
    <mergeCell ref="A4:X4"/>
    <mergeCell ref="A1:D1"/>
    <mergeCell ref="A5:Y5"/>
    <mergeCell ref="A166:C166"/>
    <mergeCell ref="A172:C172"/>
    <mergeCell ref="B6:B8"/>
    <mergeCell ref="C165:F165"/>
    <mergeCell ref="F166:K166"/>
    <mergeCell ref="F172:K172"/>
    <mergeCell ref="A6:A8"/>
    <mergeCell ref="C6:C8"/>
    <mergeCell ref="D6:D8"/>
    <mergeCell ref="E6:E8"/>
    <mergeCell ref="F6:F8"/>
    <mergeCell ref="C30:D30"/>
    <mergeCell ref="G6:I7"/>
    <mergeCell ref="C9:D9"/>
    <mergeCell ref="C10:D10"/>
    <mergeCell ref="C14:D14"/>
  </mergeCells>
  <pageMargins left="0.24" right="0.16" top="0.2" bottom="0.26" header="0.2" footer="0.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2"/>
  <sheetViews>
    <sheetView workbookViewId="0">
      <selection activeCell="A4" sqref="A4:W4"/>
    </sheetView>
  </sheetViews>
  <sheetFormatPr defaultRowHeight="15"/>
  <cols>
    <col min="1" max="1" width="3.42578125" customWidth="1"/>
    <col min="2" max="2" width="12.7109375" customWidth="1"/>
    <col min="3" max="3" width="9" customWidth="1"/>
    <col min="4" max="4" width="8.140625" customWidth="1"/>
    <col min="5" max="5" width="5.7109375" customWidth="1"/>
    <col min="6" max="6" width="4.42578125" style="13" customWidth="1"/>
    <col min="7" max="8" width="4.42578125" customWidth="1"/>
    <col min="9" max="9" width="4.28515625" customWidth="1"/>
    <col min="10" max="10" width="5" customWidth="1"/>
    <col min="11" max="11" width="4.85546875" style="13" customWidth="1"/>
    <col min="12" max="12" width="4.7109375" style="13" customWidth="1"/>
    <col min="13" max="13" width="4.85546875" style="13" customWidth="1"/>
    <col min="14" max="14" width="4.7109375" customWidth="1"/>
    <col min="15" max="15" width="4.85546875" customWidth="1"/>
    <col min="16" max="16" width="3.5703125" customWidth="1"/>
    <col min="17" max="17" width="5.5703125" customWidth="1"/>
    <col min="18" max="18" width="4.42578125" customWidth="1"/>
    <col min="19" max="19" width="4.28515625" customWidth="1"/>
    <col min="20" max="21" width="3.5703125" customWidth="1"/>
    <col min="22" max="22" width="5.85546875" customWidth="1"/>
    <col min="23" max="23" width="19.85546875" style="13" customWidth="1"/>
    <col min="24" max="24" width="3.5703125" style="13" customWidth="1"/>
    <col min="25" max="26" width="3.5703125" customWidth="1"/>
  </cols>
  <sheetData>
    <row r="1" spans="1:46" s="13" customFormat="1" ht="18.75">
      <c r="A1" s="1106" t="s">
        <v>0</v>
      </c>
      <c r="B1" s="1106"/>
      <c r="C1" s="1106"/>
      <c r="D1" s="1106"/>
      <c r="E1" s="1106"/>
      <c r="F1" s="560"/>
      <c r="G1" s="326"/>
      <c r="H1" s="326"/>
      <c r="I1" s="326"/>
      <c r="J1" s="2"/>
      <c r="K1" s="2"/>
      <c r="L1" s="2"/>
      <c r="M1" s="2"/>
      <c r="N1" s="2"/>
      <c r="O1" s="1077" t="s">
        <v>1</v>
      </c>
      <c r="P1" s="1077"/>
      <c r="Q1" s="1077"/>
      <c r="R1" s="1077"/>
      <c r="S1" s="1077"/>
      <c r="T1" s="1077"/>
      <c r="U1" s="1077"/>
      <c r="V1" s="1077"/>
      <c r="W1" s="1077"/>
      <c r="X1" s="325"/>
      <c r="Y1" s="325"/>
      <c r="Z1" s="325"/>
    </row>
    <row r="2" spans="1:46" s="13" customFormat="1" ht="18.75">
      <c r="A2" s="1107" t="s">
        <v>2</v>
      </c>
      <c r="B2" s="1107"/>
      <c r="C2" s="1107"/>
      <c r="D2" s="1107"/>
      <c r="E2" s="1107"/>
      <c r="F2" s="559"/>
      <c r="G2" s="325"/>
      <c r="H2" s="325"/>
      <c r="I2" s="325"/>
      <c r="J2" s="7"/>
      <c r="K2" s="7"/>
      <c r="L2" s="7"/>
      <c r="M2" s="7"/>
      <c r="N2" s="2"/>
      <c r="O2" s="1078" t="s">
        <v>3</v>
      </c>
      <c r="P2" s="1078"/>
      <c r="Q2" s="1078"/>
      <c r="R2" s="1078"/>
      <c r="S2" s="1078"/>
      <c r="T2" s="1078"/>
      <c r="U2" s="1078"/>
      <c r="V2" s="1078"/>
      <c r="W2" s="1078"/>
      <c r="X2" s="4"/>
      <c r="Y2" s="4"/>
      <c r="Z2" s="4"/>
    </row>
    <row r="3" spans="1:46" s="13" customFormat="1" ht="18.75">
      <c r="A3" s="2"/>
      <c r="B3" s="2"/>
      <c r="C3" s="2"/>
      <c r="D3" s="2"/>
      <c r="E3" s="5"/>
      <c r="F3" s="5"/>
      <c r="G3" s="809" t="s">
        <v>479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08"/>
      <c r="Z3" s="1108"/>
    </row>
    <row r="4" spans="1:46" s="13" customFormat="1" ht="18.75">
      <c r="A4" s="1109" t="s">
        <v>297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3" t="s">
        <v>443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s="13" customFormat="1" ht="18.75">
      <c r="A5" s="3"/>
      <c r="B5" s="3"/>
      <c r="C5" s="3"/>
      <c r="D5" s="3"/>
      <c r="E5" s="3"/>
      <c r="F5" s="558"/>
      <c r="G5" s="699"/>
      <c r="H5" s="3"/>
      <c r="I5" s="3"/>
      <c r="J5" s="3"/>
      <c r="K5" s="266"/>
      <c r="L5" s="266"/>
      <c r="M5" s="266"/>
      <c r="N5" s="3"/>
      <c r="O5" s="3"/>
      <c r="P5" s="3"/>
      <c r="Q5" s="3"/>
      <c r="R5" s="3"/>
      <c r="S5" s="3"/>
      <c r="T5" s="3"/>
      <c r="U5" s="3"/>
      <c r="V5" s="3"/>
      <c r="W5" s="266"/>
      <c r="X5" s="266"/>
      <c r="Y5" s="6"/>
      <c r="Z5" s="6"/>
    </row>
    <row r="6" spans="1:46" s="170" customFormat="1" ht="14.25" customHeight="1">
      <c r="A6" s="1102" t="s">
        <v>5</v>
      </c>
      <c r="B6" s="1102" t="s">
        <v>6</v>
      </c>
      <c r="C6" s="1102" t="s">
        <v>7</v>
      </c>
      <c r="D6" s="1105" t="s">
        <v>8</v>
      </c>
      <c r="E6" s="1102" t="s">
        <v>9</v>
      </c>
      <c r="F6" s="1096" t="s">
        <v>151</v>
      </c>
      <c r="G6" s="1098"/>
      <c r="H6" s="1093" t="s">
        <v>14</v>
      </c>
      <c r="I6" s="1094"/>
      <c r="J6" s="1095"/>
      <c r="K6" s="1096" t="s">
        <v>235</v>
      </c>
      <c r="L6" s="1097"/>
      <c r="M6" s="1098"/>
      <c r="N6" s="1096" t="s">
        <v>16</v>
      </c>
      <c r="O6" s="1097"/>
      <c r="P6" s="1097"/>
      <c r="Q6" s="1098"/>
      <c r="R6" s="1096" t="s">
        <v>17</v>
      </c>
      <c r="S6" s="1097"/>
      <c r="T6" s="1097"/>
      <c r="U6" s="1097"/>
      <c r="V6" s="280"/>
      <c r="W6" s="280"/>
    </row>
    <row r="7" spans="1:46" s="170" customFormat="1" ht="14.25" customHeight="1">
      <c r="A7" s="1103"/>
      <c r="B7" s="1103"/>
      <c r="C7" s="1103"/>
      <c r="D7" s="1103"/>
      <c r="E7" s="1103"/>
      <c r="F7" s="1099" t="s">
        <v>456</v>
      </c>
      <c r="G7" s="1080" t="s">
        <v>10</v>
      </c>
      <c r="H7" s="1085" t="s">
        <v>20</v>
      </c>
      <c r="I7" s="1085" t="s">
        <v>21</v>
      </c>
      <c r="J7" s="1087" t="s">
        <v>22</v>
      </c>
      <c r="K7" s="1085" t="s">
        <v>20</v>
      </c>
      <c r="L7" s="1085" t="s">
        <v>21</v>
      </c>
      <c r="M7" s="1087" t="s">
        <v>22</v>
      </c>
      <c r="N7" s="1089" t="s">
        <v>23</v>
      </c>
      <c r="O7" s="1089" t="s">
        <v>21</v>
      </c>
      <c r="P7" s="1110" t="s">
        <v>22</v>
      </c>
      <c r="Q7" s="1110"/>
      <c r="R7" s="1111" t="s">
        <v>20</v>
      </c>
      <c r="S7" s="1111" t="s">
        <v>21</v>
      </c>
      <c r="T7" s="1113" t="s">
        <v>22</v>
      </c>
      <c r="U7" s="1113"/>
      <c r="V7" s="1080" t="s">
        <v>296</v>
      </c>
      <c r="W7" s="1080" t="s">
        <v>13</v>
      </c>
    </row>
    <row r="8" spans="1:46" s="170" customFormat="1" ht="35.25" customHeight="1">
      <c r="A8" s="1104"/>
      <c r="B8" s="1104"/>
      <c r="C8" s="1104"/>
      <c r="D8" s="1104"/>
      <c r="E8" s="1104"/>
      <c r="F8" s="1100"/>
      <c r="G8" s="1081"/>
      <c r="H8" s="1086"/>
      <c r="I8" s="1086"/>
      <c r="J8" s="1088"/>
      <c r="K8" s="1086"/>
      <c r="L8" s="1086"/>
      <c r="M8" s="1088"/>
      <c r="N8" s="1090"/>
      <c r="O8" s="1090"/>
      <c r="P8" s="279" t="s">
        <v>24</v>
      </c>
      <c r="Q8" s="272" t="s">
        <v>25</v>
      </c>
      <c r="R8" s="1112"/>
      <c r="S8" s="1112"/>
      <c r="T8" s="273" t="s">
        <v>24</v>
      </c>
      <c r="U8" s="273" t="s">
        <v>25</v>
      </c>
      <c r="V8" s="1081"/>
      <c r="W8" s="1081"/>
      <c r="Z8" s="13"/>
      <c r="AA8" s="13"/>
      <c r="AB8" s="13"/>
      <c r="AC8" s="13"/>
      <c r="AD8" s="13"/>
      <c r="AE8" s="13"/>
      <c r="AF8" s="13"/>
      <c r="AG8" s="13"/>
    </row>
    <row r="9" spans="1:46" s="13" customFormat="1">
      <c r="A9" s="700">
        <v>1</v>
      </c>
      <c r="B9" s="701" t="s">
        <v>30</v>
      </c>
      <c r="C9" s="702">
        <v>25819</v>
      </c>
      <c r="D9" s="703" t="s">
        <v>31</v>
      </c>
      <c r="E9" s="844">
        <v>2.67</v>
      </c>
      <c r="F9" s="844"/>
      <c r="G9" s="845"/>
      <c r="H9" s="846">
        <v>0.2</v>
      </c>
      <c r="I9" s="847">
        <v>0.15</v>
      </c>
      <c r="J9" s="847">
        <f>H9-I9</f>
        <v>5.0000000000000017E-2</v>
      </c>
      <c r="K9" s="848">
        <v>0.5</v>
      </c>
      <c r="L9" s="848">
        <v>0.4</v>
      </c>
      <c r="M9" s="848">
        <f>K9-L9</f>
        <v>9.9999999999999978E-2</v>
      </c>
      <c r="N9" s="849"/>
      <c r="O9" s="850">
        <v>70</v>
      </c>
      <c r="P9" s="849"/>
      <c r="Q9" s="849">
        <f>J9*O9%</f>
        <v>3.500000000000001E-2</v>
      </c>
      <c r="R9" s="680"/>
      <c r="S9" s="680"/>
      <c r="T9" s="682"/>
      <c r="U9" s="680"/>
      <c r="V9" s="683">
        <f>U9+Q9+M9+J9</f>
        <v>0.185</v>
      </c>
      <c r="W9" s="684" t="s">
        <v>444</v>
      </c>
      <c r="Z9" s="171"/>
      <c r="AA9" s="171"/>
      <c r="AB9" s="171"/>
      <c r="AC9" s="171"/>
      <c r="AD9" s="171"/>
      <c r="AE9" s="171"/>
      <c r="AF9" s="171"/>
      <c r="AG9" s="171"/>
    </row>
    <row r="10" spans="1:46" s="13" customFormat="1">
      <c r="A10" s="679">
        <v>2</v>
      </c>
      <c r="B10" s="685" t="s">
        <v>263</v>
      </c>
      <c r="C10" s="689">
        <v>31906</v>
      </c>
      <c r="D10" s="687" t="s">
        <v>38</v>
      </c>
      <c r="E10" s="851">
        <v>2.46</v>
      </c>
      <c r="F10" s="851"/>
      <c r="G10" s="851"/>
      <c r="H10" s="843">
        <v>0.15</v>
      </c>
      <c r="I10" s="843">
        <v>0</v>
      </c>
      <c r="J10" s="847">
        <f>H10-I10</f>
        <v>0.15</v>
      </c>
      <c r="K10" s="848"/>
      <c r="L10" s="848"/>
      <c r="M10" s="848"/>
      <c r="N10" s="843"/>
      <c r="O10" s="850">
        <v>70</v>
      </c>
      <c r="P10" s="849"/>
      <c r="Q10" s="849">
        <f>J10*O10%</f>
        <v>0.105</v>
      </c>
      <c r="R10" s="688"/>
      <c r="S10" s="688"/>
      <c r="T10" s="688"/>
      <c r="U10" s="688"/>
      <c r="V10" s="683">
        <f>U10+Q10+M10+J10</f>
        <v>0.255</v>
      </c>
      <c r="W10" s="690" t="s">
        <v>446</v>
      </c>
      <c r="Z10" s="267"/>
      <c r="AA10" s="267"/>
      <c r="AB10" s="267"/>
      <c r="AC10" s="267"/>
      <c r="AD10" s="267"/>
      <c r="AE10" s="267"/>
      <c r="AF10" s="267"/>
      <c r="AG10" s="267"/>
    </row>
    <row r="11" spans="1:46" s="13" customFormat="1">
      <c r="A11" s="700">
        <v>3</v>
      </c>
      <c r="B11" s="685" t="s">
        <v>129</v>
      </c>
      <c r="C11" s="686" t="s">
        <v>130</v>
      </c>
      <c r="D11" s="687" t="s">
        <v>36</v>
      </c>
      <c r="E11" s="851">
        <v>3.26</v>
      </c>
      <c r="F11" s="851"/>
      <c r="G11" s="851"/>
      <c r="H11" s="846">
        <v>0</v>
      </c>
      <c r="I11" s="843">
        <v>0.15</v>
      </c>
      <c r="J11" s="847">
        <f t="shared" ref="J11:J13" si="0">H11-I11</f>
        <v>-0.15</v>
      </c>
      <c r="K11" s="848">
        <v>0.5</v>
      </c>
      <c r="L11" s="848">
        <v>0.3</v>
      </c>
      <c r="M11" s="848">
        <f t="shared" ref="M11:M21" si="1">K11-L11</f>
        <v>0.2</v>
      </c>
      <c r="N11" s="849">
        <v>70</v>
      </c>
      <c r="O11" s="850">
        <v>40</v>
      </c>
      <c r="P11" s="849">
        <f t="shared" ref="P11:P19" si="2">N11-O11</f>
        <v>30</v>
      </c>
      <c r="Q11" s="849">
        <f>P11%*E11</f>
        <v>0.97799999999999987</v>
      </c>
      <c r="R11" s="680"/>
      <c r="S11" s="681"/>
      <c r="T11" s="680"/>
      <c r="U11" s="688"/>
      <c r="V11" s="683">
        <f t="shared" ref="V11:V21" si="3">U11+Q11+M11+J11</f>
        <v>1.028</v>
      </c>
      <c r="W11" s="684" t="s">
        <v>445</v>
      </c>
    </row>
    <row r="12" spans="1:46" s="13" customFormat="1" ht="15" customHeight="1">
      <c r="A12" s="679">
        <v>4</v>
      </c>
      <c r="B12" s="288" t="s">
        <v>62</v>
      </c>
      <c r="C12" s="697" t="s">
        <v>262</v>
      </c>
      <c r="D12" s="687" t="s">
        <v>29</v>
      </c>
      <c r="E12" s="851">
        <v>4.0599999999999996</v>
      </c>
      <c r="F12" s="851"/>
      <c r="G12" s="851"/>
      <c r="H12" s="843">
        <v>0</v>
      </c>
      <c r="I12" s="843">
        <v>0.15</v>
      </c>
      <c r="J12" s="847">
        <f t="shared" si="0"/>
        <v>-0.15</v>
      </c>
      <c r="K12" s="848"/>
      <c r="L12" s="848"/>
      <c r="M12" s="848">
        <f t="shared" si="1"/>
        <v>0</v>
      </c>
      <c r="N12" s="843"/>
      <c r="O12" s="850">
        <v>70</v>
      </c>
      <c r="P12" s="849"/>
      <c r="Q12" s="849">
        <f>J12*O12%</f>
        <v>-0.105</v>
      </c>
      <c r="R12" s="688"/>
      <c r="S12" s="688"/>
      <c r="T12" s="688"/>
      <c r="U12" s="688"/>
      <c r="V12" s="683">
        <f t="shared" si="3"/>
        <v>-0.255</v>
      </c>
      <c r="W12" s="690" t="s">
        <v>447</v>
      </c>
      <c r="AB12" s="13" t="s">
        <v>69</v>
      </c>
    </row>
    <row r="13" spans="1:46" s="13" customFormat="1">
      <c r="A13" s="700">
        <v>5</v>
      </c>
      <c r="B13" s="288" t="s">
        <v>68</v>
      </c>
      <c r="C13" s="289">
        <v>24329</v>
      </c>
      <c r="D13" s="687" t="s">
        <v>29</v>
      </c>
      <c r="E13" s="851">
        <v>4.0599999999999996</v>
      </c>
      <c r="F13" s="851">
        <v>10</v>
      </c>
      <c r="G13" s="851">
        <f>E13*F13%</f>
        <v>0.40599999999999997</v>
      </c>
      <c r="H13" s="843">
        <v>0.2</v>
      </c>
      <c r="I13" s="843">
        <v>0.15</v>
      </c>
      <c r="J13" s="847">
        <f t="shared" si="0"/>
        <v>5.0000000000000017E-2</v>
      </c>
      <c r="K13" s="848"/>
      <c r="L13" s="848"/>
      <c r="M13" s="848">
        <f t="shared" si="1"/>
        <v>0</v>
      </c>
      <c r="N13" s="843"/>
      <c r="O13" s="850">
        <v>70</v>
      </c>
      <c r="P13" s="849"/>
      <c r="Q13" s="849">
        <f>J13*O13%</f>
        <v>3.500000000000001E-2</v>
      </c>
      <c r="R13" s="688"/>
      <c r="S13" s="688"/>
      <c r="T13" s="688"/>
      <c r="U13" s="688"/>
      <c r="V13" s="683">
        <f t="shared" si="3"/>
        <v>8.500000000000002E-2</v>
      </c>
      <c r="W13" s="690" t="s">
        <v>449</v>
      </c>
    </row>
    <row r="14" spans="1:46" s="267" customFormat="1">
      <c r="A14" s="679">
        <v>6</v>
      </c>
      <c r="B14" s="698" t="s">
        <v>81</v>
      </c>
      <c r="C14" s="289">
        <v>27921</v>
      </c>
      <c r="D14" s="687" t="s">
        <v>36</v>
      </c>
      <c r="E14" s="851">
        <v>4.0599999999999996</v>
      </c>
      <c r="F14" s="851"/>
      <c r="G14" s="852"/>
      <c r="H14" s="853"/>
      <c r="I14" s="854"/>
      <c r="J14" s="847"/>
      <c r="K14" s="848">
        <v>0.4</v>
      </c>
      <c r="L14" s="848">
        <v>0.5</v>
      </c>
      <c r="M14" s="848">
        <f t="shared" si="1"/>
        <v>-9.9999999999999978E-2</v>
      </c>
      <c r="N14" s="855"/>
      <c r="O14" s="850"/>
      <c r="P14" s="849"/>
      <c r="Q14" s="849"/>
      <c r="R14" s="692"/>
      <c r="S14" s="692"/>
      <c r="T14" s="693"/>
      <c r="U14" s="692"/>
      <c r="V14" s="683">
        <f t="shared" si="3"/>
        <v>-9.9999999999999978E-2</v>
      </c>
      <c r="W14" s="684" t="s">
        <v>450</v>
      </c>
      <c r="Z14" s="13"/>
      <c r="AA14" s="13"/>
      <c r="AB14" s="13"/>
      <c r="AC14" s="13"/>
      <c r="AD14" s="13"/>
      <c r="AE14" s="13"/>
      <c r="AF14" s="13"/>
      <c r="AG14" s="13"/>
    </row>
    <row r="15" spans="1:46" s="13" customFormat="1">
      <c r="A15" s="700">
        <v>7</v>
      </c>
      <c r="B15" s="685" t="s">
        <v>85</v>
      </c>
      <c r="C15" s="689">
        <v>29445</v>
      </c>
      <c r="D15" s="687" t="s">
        <v>36</v>
      </c>
      <c r="E15" s="851">
        <v>2.66</v>
      </c>
      <c r="F15" s="851"/>
      <c r="G15" s="851"/>
      <c r="H15" s="843"/>
      <c r="I15" s="843"/>
      <c r="J15" s="847"/>
      <c r="K15" s="848">
        <v>0.4</v>
      </c>
      <c r="L15" s="848">
        <v>0.5</v>
      </c>
      <c r="M15" s="848">
        <f t="shared" si="1"/>
        <v>-9.9999999999999978E-2</v>
      </c>
      <c r="N15" s="843"/>
      <c r="O15" s="850"/>
      <c r="P15" s="849"/>
      <c r="Q15" s="849"/>
      <c r="R15" s="688"/>
      <c r="S15" s="688"/>
      <c r="T15" s="688"/>
      <c r="U15" s="688"/>
      <c r="V15" s="683">
        <f t="shared" si="3"/>
        <v>-9.9999999999999978E-2</v>
      </c>
      <c r="W15" s="684" t="s">
        <v>451</v>
      </c>
    </row>
    <row r="16" spans="1:46" s="13" customFormat="1">
      <c r="A16" s="679">
        <v>8</v>
      </c>
      <c r="B16" s="685" t="s">
        <v>115</v>
      </c>
      <c r="C16" s="686" t="s">
        <v>116</v>
      </c>
      <c r="D16" s="687" t="s">
        <v>31</v>
      </c>
      <c r="E16" s="851">
        <v>2.67</v>
      </c>
      <c r="F16" s="851"/>
      <c r="G16" s="851"/>
      <c r="H16" s="843"/>
      <c r="I16" s="843"/>
      <c r="J16" s="847"/>
      <c r="K16" s="848">
        <v>0.4</v>
      </c>
      <c r="L16" s="848">
        <v>0.5</v>
      </c>
      <c r="M16" s="848">
        <f t="shared" si="1"/>
        <v>-9.9999999999999978E-2</v>
      </c>
      <c r="N16" s="843"/>
      <c r="O16" s="850"/>
      <c r="P16" s="849"/>
      <c r="Q16" s="849"/>
      <c r="R16" s="688"/>
      <c r="S16" s="688"/>
      <c r="T16" s="688"/>
      <c r="U16" s="688"/>
      <c r="V16" s="683">
        <f t="shared" si="3"/>
        <v>-9.9999999999999978E-2</v>
      </c>
      <c r="W16" s="690" t="s">
        <v>448</v>
      </c>
    </row>
    <row r="17" spans="1:33" s="171" customFormat="1">
      <c r="A17" s="700">
        <v>9</v>
      </c>
      <c r="B17" s="288" t="s">
        <v>104</v>
      </c>
      <c r="C17" s="289">
        <v>34505</v>
      </c>
      <c r="D17" s="691" t="s">
        <v>29</v>
      </c>
      <c r="E17" s="851">
        <v>1.86</v>
      </c>
      <c r="F17" s="851"/>
      <c r="G17" s="851"/>
      <c r="H17" s="843"/>
      <c r="I17" s="843"/>
      <c r="J17" s="847"/>
      <c r="K17" s="848">
        <v>0.3</v>
      </c>
      <c r="L17" s="848">
        <v>0.5</v>
      </c>
      <c r="M17" s="848">
        <f>K17-L17</f>
        <v>-0.2</v>
      </c>
      <c r="N17" s="843">
        <v>40</v>
      </c>
      <c r="O17" s="850">
        <v>70</v>
      </c>
      <c r="P17" s="849">
        <f>N17-O17</f>
        <v>-30</v>
      </c>
      <c r="Q17" s="849">
        <f>P17%*E17</f>
        <v>-0.55800000000000005</v>
      </c>
      <c r="R17" s="688"/>
      <c r="S17" s="688"/>
      <c r="T17" s="688"/>
      <c r="U17" s="688">
        <v>0</v>
      </c>
      <c r="V17" s="683">
        <f>U17+Q17+M17+J17</f>
        <v>-0.75800000000000001</v>
      </c>
      <c r="W17" s="690" t="s">
        <v>452</v>
      </c>
      <c r="Z17" s="13"/>
      <c r="AA17" s="13"/>
      <c r="AB17" s="13"/>
      <c r="AC17" s="13"/>
      <c r="AD17" s="13"/>
      <c r="AE17" s="13"/>
      <c r="AF17" s="13"/>
      <c r="AG17" s="13"/>
    </row>
    <row r="18" spans="1:33" s="13" customFormat="1">
      <c r="A18" s="679">
        <v>10</v>
      </c>
      <c r="B18" s="685" t="s">
        <v>63</v>
      </c>
      <c r="C18" s="686" t="s">
        <v>64</v>
      </c>
      <c r="D18" s="687" t="s">
        <v>36</v>
      </c>
      <c r="E18" s="856">
        <v>2.66</v>
      </c>
      <c r="F18" s="856"/>
      <c r="G18" s="856"/>
      <c r="H18" s="857"/>
      <c r="I18" s="857"/>
      <c r="J18" s="847"/>
      <c r="K18" s="848">
        <v>0.5</v>
      </c>
      <c r="L18" s="848">
        <v>0.4</v>
      </c>
      <c r="M18" s="848">
        <f t="shared" si="1"/>
        <v>9.9999999999999978E-2</v>
      </c>
      <c r="N18" s="857"/>
      <c r="O18" s="850"/>
      <c r="P18" s="849"/>
      <c r="Q18" s="849"/>
      <c r="R18" s="287"/>
      <c r="S18" s="286"/>
      <c r="T18" s="287"/>
      <c r="U18" s="287"/>
      <c r="V18" s="683">
        <f t="shared" si="3"/>
        <v>9.9999999999999978E-2</v>
      </c>
      <c r="W18" s="684" t="s">
        <v>453</v>
      </c>
      <c r="Z18" s="13" t="s">
        <v>69</v>
      </c>
    </row>
    <row r="19" spans="1:33" s="13" customFormat="1">
      <c r="A19" s="700">
        <v>11</v>
      </c>
      <c r="B19" s="685" t="s">
        <v>65</v>
      </c>
      <c r="C19" s="689">
        <v>33953</v>
      </c>
      <c r="D19" s="687" t="s">
        <v>29</v>
      </c>
      <c r="E19" s="851">
        <v>2.06</v>
      </c>
      <c r="F19" s="851"/>
      <c r="G19" s="851"/>
      <c r="H19" s="843"/>
      <c r="I19" s="843"/>
      <c r="J19" s="847"/>
      <c r="K19" s="848">
        <v>0.5</v>
      </c>
      <c r="L19" s="848">
        <v>0.3</v>
      </c>
      <c r="M19" s="848">
        <f t="shared" si="1"/>
        <v>0.2</v>
      </c>
      <c r="N19" s="857">
        <v>70</v>
      </c>
      <c r="O19" s="850">
        <v>40</v>
      </c>
      <c r="P19" s="849">
        <f t="shared" si="2"/>
        <v>30</v>
      </c>
      <c r="Q19" s="849">
        <f>P19%*E19</f>
        <v>0.61799999999999999</v>
      </c>
      <c r="R19" s="286">
        <v>70</v>
      </c>
      <c r="S19" s="681">
        <v>40</v>
      </c>
      <c r="T19" s="680">
        <f t="shared" ref="T19" si="4">R19-S19</f>
        <v>30</v>
      </c>
      <c r="U19" s="688">
        <f>T19%*E19</f>
        <v>0.61799999999999999</v>
      </c>
      <c r="V19" s="683">
        <f t="shared" si="3"/>
        <v>1.4359999999999999</v>
      </c>
      <c r="W19" s="690" t="s">
        <v>447</v>
      </c>
      <c r="Z19" s="1"/>
    </row>
    <row r="20" spans="1:33" s="13" customFormat="1" ht="18">
      <c r="A20" s="679">
        <v>12</v>
      </c>
      <c r="B20" s="685" t="s">
        <v>145</v>
      </c>
      <c r="C20" s="689">
        <v>30597</v>
      </c>
      <c r="D20" s="687" t="s">
        <v>36</v>
      </c>
      <c r="E20" s="856">
        <v>2.66</v>
      </c>
      <c r="F20" s="856"/>
      <c r="G20" s="856"/>
      <c r="H20" s="857"/>
      <c r="I20" s="857"/>
      <c r="J20" s="847"/>
      <c r="K20" s="848">
        <v>0.5</v>
      </c>
      <c r="L20" s="848">
        <v>0.4</v>
      </c>
      <c r="M20" s="848">
        <f t="shared" si="1"/>
        <v>9.9999999999999978E-2</v>
      </c>
      <c r="N20" s="857"/>
      <c r="O20" s="850"/>
      <c r="P20" s="849"/>
      <c r="Q20" s="849"/>
      <c r="R20" s="287"/>
      <c r="S20" s="286"/>
      <c r="T20" s="287"/>
      <c r="U20" s="287"/>
      <c r="V20" s="683">
        <f t="shared" si="3"/>
        <v>9.9999999999999978E-2</v>
      </c>
      <c r="W20" s="684" t="s">
        <v>454</v>
      </c>
      <c r="Z20" s="282"/>
    </row>
    <row r="21" spans="1:33" s="13" customFormat="1" ht="18">
      <c r="A21" s="700">
        <v>13</v>
      </c>
      <c r="B21" s="288" t="s">
        <v>97</v>
      </c>
      <c r="C21" s="686" t="s">
        <v>264</v>
      </c>
      <c r="D21" s="687" t="s">
        <v>36</v>
      </c>
      <c r="E21" s="851">
        <v>4.0599999999999996</v>
      </c>
      <c r="F21" s="851"/>
      <c r="G21" s="851"/>
      <c r="H21" s="843"/>
      <c r="I21" s="843"/>
      <c r="J21" s="847"/>
      <c r="K21" s="848">
        <v>0.4</v>
      </c>
      <c r="L21" s="848">
        <v>0.5</v>
      </c>
      <c r="M21" s="848">
        <f t="shared" si="1"/>
        <v>-9.9999999999999978E-2</v>
      </c>
      <c r="N21" s="843"/>
      <c r="O21" s="850"/>
      <c r="P21" s="849"/>
      <c r="Q21" s="849">
        <f>SUM(Q9:Q20)</f>
        <v>1.1079999999999997</v>
      </c>
      <c r="R21" s="688"/>
      <c r="S21" s="688"/>
      <c r="T21" s="688"/>
      <c r="U21" s="688"/>
      <c r="V21" s="683">
        <f t="shared" si="3"/>
        <v>1.0079999999999996</v>
      </c>
      <c r="W21" s="684" t="s">
        <v>455</v>
      </c>
      <c r="Z21" s="281"/>
    </row>
    <row r="22" spans="1:33" s="13" customFormat="1">
      <c r="A22" s="1082" t="s">
        <v>39</v>
      </c>
      <c r="B22" s="1083"/>
      <c r="C22" s="694"/>
      <c r="D22" s="695"/>
      <c r="E22" s="263">
        <f>SUM(E9:E21)</f>
        <v>39.200000000000003</v>
      </c>
      <c r="F22" s="263"/>
      <c r="G22" s="263" t="s">
        <v>69</v>
      </c>
      <c r="H22" s="284">
        <f t="shared" ref="H22:M22" si="5">SUM(H9:H21)</f>
        <v>0.55000000000000004</v>
      </c>
      <c r="I22" s="284">
        <f t="shared" si="5"/>
        <v>0.6</v>
      </c>
      <c r="J22" s="284">
        <f t="shared" si="5"/>
        <v>-4.9999999999999961E-2</v>
      </c>
      <c r="K22" s="284">
        <f t="shared" si="5"/>
        <v>4.3999999999999995</v>
      </c>
      <c r="L22" s="284">
        <f t="shared" si="5"/>
        <v>4.3</v>
      </c>
      <c r="M22" s="284">
        <f t="shared" si="5"/>
        <v>0.10000000000000003</v>
      </c>
      <c r="N22" s="284"/>
      <c r="O22" s="284"/>
      <c r="P22" s="696"/>
      <c r="Q22" s="285">
        <f>SUM(Q21)</f>
        <v>1.1079999999999997</v>
      </c>
      <c r="R22" s="283"/>
      <c r="S22" s="283"/>
      <c r="T22" s="283"/>
      <c r="U22" s="284"/>
      <c r="V22" s="285">
        <f>SUM(V21)</f>
        <v>1.0079999999999996</v>
      </c>
      <c r="W22" s="678"/>
    </row>
    <row r="23" spans="1:33" s="13" customFormat="1" ht="18">
      <c r="A23" s="1084" t="s">
        <v>40</v>
      </c>
      <c r="B23" s="1084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 t="s">
        <v>298</v>
      </c>
      <c r="P23" s="1084"/>
      <c r="Q23" s="1084"/>
      <c r="R23" s="1084"/>
      <c r="S23" s="1084"/>
      <c r="T23" s="1084"/>
      <c r="U23" s="1084"/>
      <c r="V23" s="1084"/>
      <c r="W23" s="1084"/>
      <c r="X23" s="282"/>
      <c r="Y23" s="282"/>
      <c r="Z23" s="11"/>
    </row>
    <row r="24" spans="1:33" s="13" customFormat="1" ht="18">
      <c r="A24" s="1079" t="s">
        <v>41</v>
      </c>
      <c r="B24" s="1079"/>
      <c r="C24" s="1079"/>
      <c r="D24" s="1079"/>
      <c r="E24" s="1079"/>
      <c r="F24" s="1079"/>
      <c r="G24" s="1079"/>
      <c r="H24" s="1079"/>
      <c r="I24" s="1079"/>
      <c r="J24" s="858"/>
      <c r="K24" s="859"/>
      <c r="L24" s="859"/>
      <c r="M24" s="859"/>
      <c r="N24" s="305"/>
      <c r="O24" s="11"/>
      <c r="P24" s="11"/>
      <c r="Q24" s="170"/>
      <c r="R24" s="551"/>
      <c r="S24" s="551"/>
      <c r="T24" s="747" t="s">
        <v>42</v>
      </c>
      <c r="U24" s="744"/>
      <c r="V24" s="551"/>
      <c r="W24" s="551"/>
      <c r="X24" s="281"/>
      <c r="Y24" s="281"/>
    </row>
    <row r="25" spans="1:33" s="13" customFormat="1" ht="18">
      <c r="A25" s="1074" t="s">
        <v>43</v>
      </c>
      <c r="B25" s="1074"/>
      <c r="C25" s="1074"/>
      <c r="D25" s="12"/>
      <c r="E25" s="1074" t="s">
        <v>44</v>
      </c>
      <c r="F25" s="1074"/>
      <c r="G25" s="1074"/>
      <c r="H25" s="1074"/>
      <c r="I25" s="1074"/>
      <c r="J25" s="1074"/>
      <c r="K25" s="1074"/>
      <c r="L25" s="12"/>
      <c r="M25" s="12"/>
      <c r="N25" s="12"/>
      <c r="O25" s="1074" t="s">
        <v>45</v>
      </c>
      <c r="P25" s="1074"/>
      <c r="Q25" s="1074"/>
      <c r="R25" s="1074"/>
      <c r="S25" s="1074"/>
      <c r="T25" s="12"/>
      <c r="U25" s="12"/>
      <c r="V25" s="1074" t="s">
        <v>43</v>
      </c>
      <c r="W25" s="1074"/>
    </row>
    <row r="26" spans="1:33" s="13" customFormat="1" ht="18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33" s="13" customFormat="1" ht="18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33" s="13" customFormat="1" ht="1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33" s="13" customFormat="1" ht="18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92"/>
    </row>
    <row r="30" spans="1:33" s="13" customFormat="1" ht="18">
      <c r="A30" s="1074" t="s">
        <v>46</v>
      </c>
      <c r="B30" s="1074"/>
      <c r="C30" s="1074"/>
      <c r="D30" s="11"/>
      <c r="E30" s="1074" t="s">
        <v>47</v>
      </c>
      <c r="F30" s="1074"/>
      <c r="G30" s="1074"/>
      <c r="H30" s="1074"/>
      <c r="I30" s="1074"/>
      <c r="J30" s="1074"/>
      <c r="K30" s="1074"/>
      <c r="L30" s="12"/>
      <c r="M30" s="12"/>
      <c r="N30" s="12"/>
      <c r="O30" s="1074" t="s">
        <v>222</v>
      </c>
      <c r="P30" s="1074"/>
      <c r="Q30" s="1074"/>
      <c r="R30" s="1074"/>
      <c r="S30" s="1074"/>
      <c r="T30" s="11"/>
      <c r="U30" s="11"/>
      <c r="V30" s="1074" t="s">
        <v>49</v>
      </c>
      <c r="W30" s="1074"/>
      <c r="X30" s="1074"/>
      <c r="Y30" s="11"/>
      <c r="Z30" s="92"/>
    </row>
    <row r="31" spans="1:33" s="13" customFormat="1" ht="18">
      <c r="D31" s="11"/>
      <c r="O31" s="12"/>
      <c r="P31" s="12"/>
      <c r="Q31" s="1074" t="s">
        <v>69</v>
      </c>
      <c r="R31" s="1074"/>
      <c r="S31" s="1074"/>
      <c r="T31" s="1074"/>
      <c r="U31" s="1074"/>
      <c r="V31" s="1074"/>
      <c r="W31" s="1074"/>
      <c r="X31" s="1074"/>
      <c r="Y31" s="1074"/>
      <c r="Z31" s="265" t="s">
        <v>69</v>
      </c>
    </row>
    <row r="32" spans="1:33" s="13" customFormat="1">
      <c r="Z32" s="93"/>
    </row>
  </sheetData>
  <mergeCells count="45">
    <mergeCell ref="A2:E2"/>
    <mergeCell ref="A1:E1"/>
    <mergeCell ref="A6:A8"/>
    <mergeCell ref="O1:W1"/>
    <mergeCell ref="O2:W2"/>
    <mergeCell ref="Y3:Z3"/>
    <mergeCell ref="A4:W4"/>
    <mergeCell ref="B6:B8"/>
    <mergeCell ref="C6:C8"/>
    <mergeCell ref="D6:D8"/>
    <mergeCell ref="E6:E8"/>
    <mergeCell ref="F6:G6"/>
    <mergeCell ref="F7:F8"/>
    <mergeCell ref="G7:G8"/>
    <mergeCell ref="H6:J6"/>
    <mergeCell ref="M7:M8"/>
    <mergeCell ref="V7:V8"/>
    <mergeCell ref="R6:U6"/>
    <mergeCell ref="K6:M6"/>
    <mergeCell ref="K7:K8"/>
    <mergeCell ref="N6:Q6"/>
    <mergeCell ref="Q31:Y31"/>
    <mergeCell ref="E30:K30"/>
    <mergeCell ref="A23:N23"/>
    <mergeCell ref="W7:W8"/>
    <mergeCell ref="N7:N8"/>
    <mergeCell ref="O7:O8"/>
    <mergeCell ref="P7:Q7"/>
    <mergeCell ref="R7:R8"/>
    <mergeCell ref="S7:S8"/>
    <mergeCell ref="T7:U7"/>
    <mergeCell ref="H7:H8"/>
    <mergeCell ref="I7:I8"/>
    <mergeCell ref="J7:J8"/>
    <mergeCell ref="A22:B22"/>
    <mergeCell ref="O23:W23"/>
    <mergeCell ref="L7:L8"/>
    <mergeCell ref="O25:S25"/>
    <mergeCell ref="A24:I24"/>
    <mergeCell ref="V25:W25"/>
    <mergeCell ref="O30:S30"/>
    <mergeCell ref="V30:X30"/>
    <mergeCell ref="A25:C25"/>
    <mergeCell ref="E25:K25"/>
    <mergeCell ref="A30:C30"/>
  </mergeCells>
  <pageMargins left="0.24" right="0.16" top="0.2" bottom="0.32" header="0.2" footer="0.3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99"/>
  <sheetViews>
    <sheetView topLeftCell="A82" workbookViewId="0">
      <selection activeCell="A5" sqref="A5:Y5"/>
    </sheetView>
  </sheetViews>
  <sheetFormatPr defaultRowHeight="15"/>
  <cols>
    <col min="1" max="1" width="3.5703125" customWidth="1"/>
    <col min="2" max="2" width="13.42578125" customWidth="1"/>
    <col min="3" max="3" width="10.42578125" customWidth="1"/>
    <col min="4" max="4" width="9.42578125" customWidth="1"/>
    <col min="5" max="5" width="6.28515625" style="142" customWidth="1"/>
    <col min="6" max="7" width="3.5703125" style="1039" customWidth="1"/>
    <col min="8" max="8" width="7.7109375" style="1039" customWidth="1"/>
    <col min="9" max="9" width="3.42578125" customWidth="1"/>
    <col min="10" max="10" width="4.7109375" customWidth="1"/>
    <col min="11" max="11" width="5.42578125" customWidth="1"/>
    <col min="12" max="12" width="3.5703125" customWidth="1"/>
    <col min="13" max="13" width="7.140625" customWidth="1"/>
    <col min="14" max="14" width="3.42578125" customWidth="1"/>
    <col min="15" max="15" width="5.85546875" customWidth="1"/>
    <col min="16" max="16" width="4.7109375" customWidth="1"/>
    <col min="17" max="17" width="5.140625" customWidth="1"/>
    <col min="18" max="18" width="3.42578125" customWidth="1"/>
    <col min="19" max="19" width="3" customWidth="1"/>
    <col min="20" max="20" width="4.7109375" customWidth="1"/>
    <col min="21" max="21" width="5" customWidth="1"/>
    <col min="22" max="22" width="6.7109375" style="142" customWidth="1"/>
    <col min="23" max="23" width="5.7109375" style="142" customWidth="1"/>
    <col min="24" max="24" width="6.85546875" style="142" customWidth="1"/>
    <col min="25" max="25" width="12.42578125" style="969" customWidth="1"/>
  </cols>
  <sheetData>
    <row r="1" spans="1:25" ht="16.5">
      <c r="A1" s="1344" t="s">
        <v>0</v>
      </c>
      <c r="B1" s="1344"/>
      <c r="C1" s="1344"/>
      <c r="D1" s="1344"/>
      <c r="E1" s="1344"/>
      <c r="F1" s="1344"/>
      <c r="G1" s="1344"/>
      <c r="H1" s="1344"/>
      <c r="I1" s="1344"/>
      <c r="J1" s="862"/>
      <c r="K1" s="860"/>
      <c r="L1" s="860"/>
      <c r="M1" s="862"/>
      <c r="N1" s="899"/>
      <c r="O1" s="899"/>
      <c r="P1" s="1343" t="s">
        <v>1</v>
      </c>
      <c r="Q1" s="1343"/>
      <c r="R1" s="1343"/>
      <c r="S1" s="1343"/>
      <c r="T1" s="1343"/>
      <c r="U1" s="1343"/>
      <c r="V1" s="1343"/>
      <c r="W1" s="1343"/>
      <c r="X1" s="1343"/>
      <c r="Y1" s="1343"/>
    </row>
    <row r="2" spans="1:25" ht="16.5">
      <c r="A2" s="1343" t="s">
        <v>2</v>
      </c>
      <c r="B2" s="1343"/>
      <c r="C2" s="1343"/>
      <c r="D2" s="1343"/>
      <c r="E2" s="1343"/>
      <c r="F2" s="1343"/>
      <c r="G2" s="1343"/>
      <c r="H2" s="1343"/>
      <c r="I2" s="1343"/>
      <c r="J2" s="863"/>
      <c r="K2" s="861"/>
      <c r="L2" s="861"/>
      <c r="M2" s="863"/>
      <c r="N2" s="899"/>
      <c r="O2" s="899"/>
      <c r="P2" s="1343" t="s">
        <v>3</v>
      </c>
      <c r="Q2" s="1343"/>
      <c r="R2" s="1343"/>
      <c r="S2" s="1343"/>
      <c r="T2" s="1343"/>
      <c r="U2" s="1343"/>
      <c r="V2" s="1343"/>
      <c r="W2" s="1343"/>
      <c r="X2" s="1343"/>
      <c r="Y2" s="1343"/>
    </row>
    <row r="3" spans="1:25" ht="16.5">
      <c r="A3" s="862"/>
      <c r="B3" s="862"/>
      <c r="C3" s="862"/>
      <c r="D3" s="862"/>
      <c r="E3" s="864"/>
      <c r="F3" s="1023"/>
      <c r="G3" s="1023"/>
      <c r="H3" s="1023"/>
      <c r="I3" s="861"/>
      <c r="J3" s="862"/>
      <c r="K3" s="860"/>
      <c r="L3" s="860"/>
      <c r="M3" s="862"/>
      <c r="N3" s="860"/>
      <c r="O3" s="1344"/>
      <c r="P3" s="1344"/>
      <c r="Q3" s="1344"/>
      <c r="R3" s="1344"/>
      <c r="S3" s="1344"/>
      <c r="T3" s="1344"/>
      <c r="U3" s="1344"/>
      <c r="V3" s="1344"/>
      <c r="W3" s="1344"/>
      <c r="X3" s="1344"/>
      <c r="Y3" s="1344"/>
    </row>
    <row r="4" spans="1:25" ht="18.75">
      <c r="A4" s="1121" t="s">
        <v>643</v>
      </c>
      <c r="B4" s="1121"/>
      <c r="C4" s="1121"/>
      <c r="D4" s="1121"/>
      <c r="E4" s="1121"/>
      <c r="F4" s="1121"/>
      <c r="G4" s="1121"/>
      <c r="H4" s="1121"/>
      <c r="I4" s="1121"/>
      <c r="J4" s="1121"/>
      <c r="K4" s="1121"/>
      <c r="L4" s="1121"/>
      <c r="M4" s="1121"/>
      <c r="N4" s="1121"/>
      <c r="O4" s="1121"/>
      <c r="P4" s="1121"/>
      <c r="Q4" s="1121"/>
      <c r="R4" s="1121"/>
      <c r="S4" s="1121"/>
      <c r="T4" s="1121"/>
      <c r="U4" s="1121"/>
      <c r="V4" s="1121"/>
      <c r="W4" s="1121"/>
      <c r="X4" s="1121"/>
      <c r="Y4" s="1121"/>
    </row>
    <row r="5" spans="1:25" ht="19.5">
      <c r="A5" s="1345" t="s">
        <v>678</v>
      </c>
      <c r="B5" s="1345"/>
      <c r="C5" s="1345"/>
      <c r="D5" s="1345"/>
      <c r="E5" s="1345"/>
      <c r="F5" s="1345"/>
      <c r="G5" s="1345"/>
      <c r="H5" s="1345"/>
      <c r="I5" s="1345"/>
      <c r="J5" s="1345"/>
      <c r="K5" s="1345"/>
      <c r="L5" s="1345"/>
      <c r="M5" s="1345"/>
      <c r="N5" s="1345"/>
      <c r="O5" s="1345"/>
      <c r="P5" s="1345"/>
      <c r="Q5" s="1345"/>
      <c r="R5" s="1345"/>
      <c r="S5" s="1345"/>
      <c r="T5" s="1345"/>
      <c r="U5" s="1345"/>
      <c r="V5" s="1345"/>
      <c r="W5" s="1345"/>
      <c r="X5" s="1345"/>
      <c r="Y5" s="1345"/>
    </row>
    <row r="6" spans="1:25" ht="15.75">
      <c r="A6" s="1374"/>
      <c r="B6" s="1374"/>
      <c r="C6" s="1374"/>
      <c r="D6" s="917"/>
      <c r="E6" s="789"/>
      <c r="F6" s="918"/>
      <c r="G6" s="918"/>
      <c r="H6" s="918"/>
      <c r="I6" s="918"/>
      <c r="J6" s="917"/>
      <c r="K6" s="789"/>
      <c r="L6" s="789"/>
      <c r="M6" s="917"/>
      <c r="N6" s="789"/>
      <c r="O6" s="917"/>
      <c r="P6" s="917"/>
      <c r="Q6" s="789"/>
      <c r="R6" s="917"/>
      <c r="S6" s="917"/>
      <c r="T6" s="918"/>
      <c r="U6" s="917"/>
      <c r="V6" s="1375" t="s">
        <v>667</v>
      </c>
      <c r="W6" s="1375"/>
      <c r="X6" s="1375"/>
      <c r="Y6" s="1375"/>
    </row>
    <row r="7" spans="1:25">
      <c r="A7" s="1376" t="s">
        <v>51</v>
      </c>
      <c r="B7" s="1376" t="s">
        <v>6</v>
      </c>
      <c r="C7" s="1376" t="s">
        <v>7</v>
      </c>
      <c r="D7" s="1376" t="s">
        <v>52</v>
      </c>
      <c r="E7" s="1379" t="s">
        <v>185</v>
      </c>
      <c r="F7" s="1359" t="s">
        <v>57</v>
      </c>
      <c r="G7" s="1359"/>
      <c r="H7" s="1359"/>
      <c r="I7" s="1382" t="s">
        <v>482</v>
      </c>
      <c r="J7" s="1382"/>
      <c r="K7" s="1382"/>
      <c r="L7" s="1382"/>
      <c r="M7" s="1382"/>
      <c r="N7" s="1382"/>
      <c r="O7" s="1382"/>
      <c r="P7" s="1382"/>
      <c r="Q7" s="1382"/>
      <c r="R7" s="1382"/>
      <c r="S7" s="1382"/>
      <c r="T7" s="1382"/>
      <c r="U7" s="1382"/>
      <c r="V7" s="1382"/>
      <c r="W7" s="1379" t="s">
        <v>644</v>
      </c>
      <c r="X7" s="1379" t="s">
        <v>645</v>
      </c>
      <c r="Y7" s="1383" t="s">
        <v>646</v>
      </c>
    </row>
    <row r="8" spans="1:25">
      <c r="A8" s="1377"/>
      <c r="B8" s="1377"/>
      <c r="C8" s="1377"/>
      <c r="D8" s="1377"/>
      <c r="E8" s="1380"/>
      <c r="F8" s="1360"/>
      <c r="G8" s="1360"/>
      <c r="H8" s="1360"/>
      <c r="I8" s="1382" t="s">
        <v>647</v>
      </c>
      <c r="J8" s="1382"/>
      <c r="K8" s="1386" t="s">
        <v>14</v>
      </c>
      <c r="L8" s="1382" t="s">
        <v>16</v>
      </c>
      <c r="M8" s="1382"/>
      <c r="N8" s="1382" t="s">
        <v>17</v>
      </c>
      <c r="O8" s="1382"/>
      <c r="P8" s="1387" t="s">
        <v>212</v>
      </c>
      <c r="Q8" s="1387" t="s">
        <v>150</v>
      </c>
      <c r="R8" s="1387" t="s">
        <v>648</v>
      </c>
      <c r="S8" s="1387" t="s">
        <v>649</v>
      </c>
      <c r="T8" s="1388" t="s">
        <v>18</v>
      </c>
      <c r="U8" s="1387" t="s">
        <v>15</v>
      </c>
      <c r="V8" s="1387" t="s">
        <v>650</v>
      </c>
      <c r="W8" s="1380"/>
      <c r="X8" s="1380"/>
      <c r="Y8" s="1384"/>
    </row>
    <row r="9" spans="1:25" s="142" customFormat="1" ht="24">
      <c r="A9" s="1377"/>
      <c r="B9" s="1377"/>
      <c r="C9" s="1377"/>
      <c r="D9" s="1377"/>
      <c r="E9" s="1380"/>
      <c r="F9" s="1054" t="s">
        <v>629</v>
      </c>
      <c r="G9" s="1054" t="s">
        <v>628</v>
      </c>
      <c r="H9" s="1055" t="s">
        <v>54</v>
      </c>
      <c r="I9" s="1388" t="s">
        <v>24</v>
      </c>
      <c r="J9" s="1387" t="s">
        <v>25</v>
      </c>
      <c r="K9" s="1377"/>
      <c r="L9" s="1387" t="s">
        <v>24</v>
      </c>
      <c r="M9" s="1387" t="s">
        <v>25</v>
      </c>
      <c r="N9" s="1387" t="s">
        <v>651</v>
      </c>
      <c r="O9" s="1387" t="s">
        <v>25</v>
      </c>
      <c r="P9" s="1380"/>
      <c r="Q9" s="1380"/>
      <c r="R9" s="1380"/>
      <c r="S9" s="1380"/>
      <c r="T9" s="1391"/>
      <c r="U9" s="1380"/>
      <c r="V9" s="1380"/>
      <c r="W9" s="1380"/>
      <c r="X9" s="1380"/>
      <c r="Y9" s="1384"/>
    </row>
    <row r="10" spans="1:25" s="142" customFormat="1">
      <c r="A10" s="1378"/>
      <c r="B10" s="1378"/>
      <c r="C10" s="1378"/>
      <c r="D10" s="1378"/>
      <c r="E10" s="1381"/>
      <c r="F10" s="945"/>
      <c r="G10" s="945"/>
      <c r="H10" s="945"/>
      <c r="I10" s="1389"/>
      <c r="J10" s="1381"/>
      <c r="K10" s="1378"/>
      <c r="L10" s="1381"/>
      <c r="M10" s="1381"/>
      <c r="N10" s="1381"/>
      <c r="O10" s="1381"/>
      <c r="P10" s="1381"/>
      <c r="Q10" s="1381"/>
      <c r="R10" s="1381"/>
      <c r="S10" s="1381"/>
      <c r="T10" s="1389"/>
      <c r="U10" s="1381"/>
      <c r="V10" s="1381"/>
      <c r="W10" s="1381"/>
      <c r="X10" s="1381"/>
      <c r="Y10" s="1385"/>
    </row>
    <row r="11" spans="1:25">
      <c r="B11" s="919" t="s">
        <v>58</v>
      </c>
      <c r="C11" s="919"/>
      <c r="D11" s="919"/>
      <c r="E11" s="922"/>
      <c r="F11" s="923"/>
      <c r="G11" s="923"/>
      <c r="H11" s="923"/>
      <c r="I11" s="921"/>
      <c r="J11" s="922"/>
      <c r="K11" s="920"/>
      <c r="L11" s="922"/>
      <c r="M11" s="922"/>
      <c r="N11" s="922"/>
      <c r="O11" s="922"/>
      <c r="P11" s="920"/>
      <c r="Q11" s="920"/>
      <c r="R11" s="920"/>
      <c r="S11" s="920"/>
      <c r="T11" s="923"/>
      <c r="U11" s="920"/>
      <c r="V11" s="922"/>
      <c r="W11" s="922"/>
      <c r="X11" s="922"/>
      <c r="Y11" s="1000"/>
    </row>
    <row r="12" spans="1:25">
      <c r="A12" s="958">
        <v>1</v>
      </c>
      <c r="B12" s="924" t="s">
        <v>67</v>
      </c>
      <c r="C12" s="925">
        <v>28340</v>
      </c>
      <c r="D12" s="926" t="s">
        <v>60</v>
      </c>
      <c r="E12" s="937">
        <v>3.33</v>
      </c>
      <c r="F12" s="1025" t="s">
        <v>668</v>
      </c>
      <c r="G12" s="1025" t="s">
        <v>635</v>
      </c>
      <c r="H12" s="1026">
        <v>2018</v>
      </c>
      <c r="I12" s="927"/>
      <c r="J12" s="963"/>
      <c r="K12" s="928">
        <v>0.2</v>
      </c>
      <c r="L12" s="963">
        <v>70</v>
      </c>
      <c r="M12" s="929">
        <f t="shared" ref="M12:M17" si="0">SUM(E12+J12+K12)*L12%</f>
        <v>2.4710000000000001</v>
      </c>
      <c r="N12" s="963"/>
      <c r="O12" s="929"/>
      <c r="P12" s="963"/>
      <c r="Q12" s="963"/>
      <c r="R12" s="963"/>
      <c r="S12" s="963"/>
      <c r="T12" s="927">
        <v>0.5</v>
      </c>
      <c r="U12" s="963">
        <v>0.5</v>
      </c>
      <c r="V12" s="928">
        <f>SUM(J12+K12+M12+O12+P12+Q12+R12+S12+T12+U12)</f>
        <v>3.6710000000000003</v>
      </c>
      <c r="W12" s="929">
        <f>SUM(E12+J12+K12)*23.5%</f>
        <v>0.82955000000000001</v>
      </c>
      <c r="X12" s="929">
        <f t="shared" ref="X12:X17" si="1">SUM(E12+V12+W12)</f>
        <v>7.8305500000000006</v>
      </c>
      <c r="Y12" s="986">
        <f>SUM(X12)*1390000</f>
        <v>10884464.5</v>
      </c>
    </row>
    <row r="13" spans="1:25">
      <c r="A13" s="958">
        <v>2</v>
      </c>
      <c r="B13" s="924" t="s">
        <v>62</v>
      </c>
      <c r="C13" s="930" t="s">
        <v>262</v>
      </c>
      <c r="D13" s="926" t="s">
        <v>29</v>
      </c>
      <c r="E13" s="963">
        <v>4.0599999999999996</v>
      </c>
      <c r="F13" s="1025" t="s">
        <v>641</v>
      </c>
      <c r="G13" s="1025" t="s">
        <v>637</v>
      </c>
      <c r="H13" s="1026">
        <v>2017</v>
      </c>
      <c r="I13" s="927"/>
      <c r="J13" s="963"/>
      <c r="K13" s="963">
        <v>0.15</v>
      </c>
      <c r="L13" s="963">
        <v>70</v>
      </c>
      <c r="M13" s="929">
        <f t="shared" si="0"/>
        <v>2.9469999999999996</v>
      </c>
      <c r="N13" s="963"/>
      <c r="O13" s="929"/>
      <c r="P13" s="963"/>
      <c r="Q13" s="963"/>
      <c r="R13" s="963"/>
      <c r="S13" s="963"/>
      <c r="T13" s="931">
        <v>1</v>
      </c>
      <c r="U13" s="963">
        <v>0.5</v>
      </c>
      <c r="V13" s="928">
        <f t="shared" ref="V13:V36" si="2">SUM(J13+K13+M13+O13+P13+Q13+R13+S13+T13+U13)</f>
        <v>4.5969999999999995</v>
      </c>
      <c r="W13" s="929">
        <f t="shared" ref="W13:W77" si="3">SUM(E13+J13+K13)*23.5%</f>
        <v>0.98934999999999995</v>
      </c>
      <c r="X13" s="929">
        <f t="shared" si="1"/>
        <v>9.64635</v>
      </c>
      <c r="Y13" s="986">
        <f t="shared" ref="Y13:Y77" si="4">SUM(X13)*1390000</f>
        <v>13408426.5</v>
      </c>
    </row>
    <row r="14" spans="1:25">
      <c r="A14" s="958">
        <v>3</v>
      </c>
      <c r="B14" s="924" t="s">
        <v>85</v>
      </c>
      <c r="C14" s="925">
        <v>29445</v>
      </c>
      <c r="D14" s="926" t="s">
        <v>36</v>
      </c>
      <c r="E14" s="963">
        <v>2.66</v>
      </c>
      <c r="F14" s="1025" t="s">
        <v>641</v>
      </c>
      <c r="G14" s="1025" t="s">
        <v>641</v>
      </c>
      <c r="H14" s="1026">
        <v>2017</v>
      </c>
      <c r="I14" s="927"/>
      <c r="J14" s="963"/>
      <c r="K14" s="963"/>
      <c r="L14" s="963">
        <v>70</v>
      </c>
      <c r="M14" s="929">
        <f t="shared" si="0"/>
        <v>1.8619999999999999</v>
      </c>
      <c r="N14" s="963"/>
      <c r="O14" s="929"/>
      <c r="P14" s="963"/>
      <c r="Q14" s="963">
        <v>0.1</v>
      </c>
      <c r="R14" s="963"/>
      <c r="S14" s="963"/>
      <c r="T14" s="927">
        <v>0.5</v>
      </c>
      <c r="U14" s="963">
        <v>0.5</v>
      </c>
      <c r="V14" s="928">
        <f t="shared" si="2"/>
        <v>2.9619999999999997</v>
      </c>
      <c r="W14" s="929">
        <f t="shared" si="3"/>
        <v>0.62509999999999999</v>
      </c>
      <c r="X14" s="929">
        <f t="shared" si="1"/>
        <v>6.2470999999999997</v>
      </c>
      <c r="Y14" s="986">
        <f t="shared" si="4"/>
        <v>8683469</v>
      </c>
    </row>
    <row r="15" spans="1:25" s="171" customFormat="1">
      <c r="A15" s="958">
        <v>4</v>
      </c>
      <c r="B15" s="970" t="s">
        <v>80</v>
      </c>
      <c r="C15" s="971">
        <v>31992</v>
      </c>
      <c r="D15" s="955" t="s">
        <v>29</v>
      </c>
      <c r="E15" s="934">
        <v>2.86</v>
      </c>
      <c r="F15" s="1056" t="s">
        <v>631</v>
      </c>
      <c r="G15" s="1056" t="s">
        <v>631</v>
      </c>
      <c r="H15" s="1057">
        <v>2019</v>
      </c>
      <c r="I15" s="933"/>
      <c r="J15" s="934"/>
      <c r="K15" s="934"/>
      <c r="L15" s="934">
        <v>70</v>
      </c>
      <c r="M15" s="935">
        <f t="shared" si="0"/>
        <v>2.0019999999999998</v>
      </c>
      <c r="N15" s="934"/>
      <c r="O15" s="935"/>
      <c r="P15" s="934"/>
      <c r="Q15" s="934"/>
      <c r="R15" s="934"/>
      <c r="S15" s="934"/>
      <c r="T15" s="933"/>
      <c r="U15" s="934">
        <v>0.5</v>
      </c>
      <c r="V15" s="937">
        <f t="shared" si="2"/>
        <v>2.5019999999999998</v>
      </c>
      <c r="W15" s="935">
        <f t="shared" si="3"/>
        <v>0.67209999999999992</v>
      </c>
      <c r="X15" s="935">
        <f t="shared" si="1"/>
        <v>6.0341000000000005</v>
      </c>
      <c r="Y15" s="987">
        <f t="shared" si="4"/>
        <v>8387399.0000000009</v>
      </c>
    </row>
    <row r="16" spans="1:25">
      <c r="A16" s="958">
        <v>5</v>
      </c>
      <c r="B16" s="924" t="s">
        <v>263</v>
      </c>
      <c r="C16" s="925">
        <v>31906</v>
      </c>
      <c r="D16" s="926" t="s">
        <v>38</v>
      </c>
      <c r="E16" s="963">
        <v>2.46</v>
      </c>
      <c r="F16" s="1025" t="s">
        <v>641</v>
      </c>
      <c r="G16" s="1025" t="s">
        <v>634</v>
      </c>
      <c r="H16" s="1026">
        <v>2017</v>
      </c>
      <c r="I16" s="927"/>
      <c r="J16" s="963"/>
      <c r="K16" s="963"/>
      <c r="L16" s="963">
        <v>70</v>
      </c>
      <c r="M16" s="929">
        <f t="shared" si="0"/>
        <v>1.722</v>
      </c>
      <c r="N16" s="963"/>
      <c r="O16" s="929"/>
      <c r="P16" s="963"/>
      <c r="Q16" s="963"/>
      <c r="R16" s="963"/>
      <c r="S16" s="963"/>
      <c r="T16" s="927">
        <v>0.5</v>
      </c>
      <c r="U16" s="963">
        <v>0.5</v>
      </c>
      <c r="V16" s="928">
        <f t="shared" si="2"/>
        <v>2.722</v>
      </c>
      <c r="W16" s="929">
        <f t="shared" si="3"/>
        <v>0.57809999999999995</v>
      </c>
      <c r="X16" s="929">
        <f t="shared" si="1"/>
        <v>5.7601000000000004</v>
      </c>
      <c r="Y16" s="986">
        <f t="shared" si="4"/>
        <v>8006539.0000000009</v>
      </c>
    </row>
    <row r="17" spans="1:25">
      <c r="A17" s="958">
        <v>6</v>
      </c>
      <c r="B17" s="924" t="s">
        <v>104</v>
      </c>
      <c r="C17" s="925">
        <v>34505</v>
      </c>
      <c r="D17" s="932" t="s">
        <v>29</v>
      </c>
      <c r="E17" s="934">
        <v>1.86</v>
      </c>
      <c r="F17" s="1025" t="s">
        <v>631</v>
      </c>
      <c r="G17" s="1025" t="s">
        <v>632</v>
      </c>
      <c r="H17" s="1026">
        <v>2018</v>
      </c>
      <c r="I17" s="933"/>
      <c r="J17" s="934"/>
      <c r="K17" s="934"/>
      <c r="L17" s="934">
        <v>70</v>
      </c>
      <c r="M17" s="929">
        <f t="shared" si="0"/>
        <v>1.302</v>
      </c>
      <c r="N17" s="934">
        <v>70</v>
      </c>
      <c r="O17" s="935">
        <f>SUM(E17+J17+K17+S17)*N17%</f>
        <v>1.302</v>
      </c>
      <c r="P17" s="934"/>
      <c r="Q17" s="934"/>
      <c r="R17" s="934"/>
      <c r="S17" s="934"/>
      <c r="T17" s="933"/>
      <c r="U17" s="934">
        <v>0.5</v>
      </c>
      <c r="V17" s="928">
        <f t="shared" si="2"/>
        <v>3.1040000000000001</v>
      </c>
      <c r="W17" s="929">
        <f t="shared" si="3"/>
        <v>0.43709999999999999</v>
      </c>
      <c r="X17" s="929">
        <f t="shared" si="1"/>
        <v>5.4011000000000005</v>
      </c>
      <c r="Y17" s="986">
        <f t="shared" si="4"/>
        <v>7507529.0000000009</v>
      </c>
    </row>
    <row r="18" spans="1:25">
      <c r="A18" s="958"/>
      <c r="B18" s="1368" t="s">
        <v>66</v>
      </c>
      <c r="C18" s="1369"/>
      <c r="D18" s="936"/>
      <c r="E18" s="963"/>
      <c r="F18" s="1025"/>
      <c r="G18" s="1025"/>
      <c r="H18" s="1026"/>
      <c r="I18" s="927"/>
      <c r="J18" s="963"/>
      <c r="K18" s="963"/>
      <c r="L18" s="963"/>
      <c r="M18" s="929"/>
      <c r="N18" s="963"/>
      <c r="O18" s="929"/>
      <c r="P18" s="963"/>
      <c r="Q18" s="963"/>
      <c r="R18" s="963"/>
      <c r="S18" s="963"/>
      <c r="T18" s="927"/>
      <c r="U18" s="963"/>
      <c r="V18" s="928"/>
      <c r="W18" s="929"/>
      <c r="X18" s="929"/>
      <c r="Y18" s="986"/>
    </row>
    <row r="19" spans="1:25">
      <c r="A19" s="958">
        <v>7</v>
      </c>
      <c r="B19" s="924" t="s">
        <v>68</v>
      </c>
      <c r="C19" s="925">
        <v>24329</v>
      </c>
      <c r="D19" s="926" t="s">
        <v>29</v>
      </c>
      <c r="E19" s="963">
        <v>4.0599999999999996</v>
      </c>
      <c r="F19" s="1025" t="s">
        <v>631</v>
      </c>
      <c r="G19" s="1025" t="s">
        <v>637</v>
      </c>
      <c r="H19" s="1026">
        <v>2018</v>
      </c>
      <c r="I19" s="927">
        <v>11</v>
      </c>
      <c r="J19" s="963">
        <f>SUM(E19)*I19/100</f>
        <v>0.44659999999999994</v>
      </c>
      <c r="K19" s="928">
        <v>0.2</v>
      </c>
      <c r="L19" s="963">
        <v>70</v>
      </c>
      <c r="M19" s="929">
        <f t="shared" ref="M19:M24" si="5">SUM(E19+J19+K19)*L19%</f>
        <v>3.2946199999999997</v>
      </c>
      <c r="N19" s="963">
        <v>70</v>
      </c>
      <c r="O19" s="929">
        <f>SUM(E19+J19+K19)*N19/100</f>
        <v>3.2946200000000001</v>
      </c>
      <c r="P19" s="963"/>
      <c r="Q19" s="963"/>
      <c r="R19" s="963"/>
      <c r="S19" s="963"/>
      <c r="T19" s="933">
        <v>0.7</v>
      </c>
      <c r="U19" s="963">
        <v>0.5</v>
      </c>
      <c r="V19" s="928">
        <f t="shared" si="2"/>
        <v>8.4358399999999989</v>
      </c>
      <c r="W19" s="929">
        <f t="shared" si="3"/>
        <v>1.1060509999999999</v>
      </c>
      <c r="X19" s="929">
        <f t="shared" ref="X19:X24" si="6">SUM(E19+V19+W19)</f>
        <v>13.601890999999998</v>
      </c>
      <c r="Y19" s="986">
        <f t="shared" si="4"/>
        <v>18906628.489999998</v>
      </c>
    </row>
    <row r="20" spans="1:25">
      <c r="A20" s="958">
        <v>8</v>
      </c>
      <c r="B20" s="924" t="s">
        <v>115</v>
      </c>
      <c r="C20" s="930" t="s">
        <v>116</v>
      </c>
      <c r="D20" s="926" t="s">
        <v>31</v>
      </c>
      <c r="E20" s="963">
        <v>2.67</v>
      </c>
      <c r="F20" s="1025" t="s">
        <v>631</v>
      </c>
      <c r="G20" s="1025" t="s">
        <v>639</v>
      </c>
      <c r="H20" s="1026">
        <v>2016</v>
      </c>
      <c r="I20" s="927"/>
      <c r="J20" s="963"/>
      <c r="K20" s="937">
        <v>0.15</v>
      </c>
      <c r="L20" s="963">
        <v>70</v>
      </c>
      <c r="M20" s="929">
        <f t="shared" si="5"/>
        <v>1.9739999999999998</v>
      </c>
      <c r="N20" s="963">
        <v>70</v>
      </c>
      <c r="O20" s="929">
        <f>SUM(E20+J20+K20)*N20/100</f>
        <v>1.9739999999999998</v>
      </c>
      <c r="P20" s="963"/>
      <c r="Q20" s="963"/>
      <c r="R20" s="963"/>
      <c r="S20" s="963"/>
      <c r="T20" s="927"/>
      <c r="U20" s="963">
        <v>0.5</v>
      </c>
      <c r="V20" s="928">
        <f t="shared" si="2"/>
        <v>4.597999999999999</v>
      </c>
      <c r="W20" s="929">
        <f t="shared" si="3"/>
        <v>0.66269999999999996</v>
      </c>
      <c r="X20" s="929">
        <f t="shared" si="6"/>
        <v>7.930699999999999</v>
      </c>
      <c r="Y20" s="986">
        <f t="shared" si="4"/>
        <v>11023672.999999998</v>
      </c>
    </row>
    <row r="21" spans="1:25">
      <c r="A21" s="958">
        <v>9</v>
      </c>
      <c r="B21" s="924" t="s">
        <v>70</v>
      </c>
      <c r="C21" s="925">
        <v>24111</v>
      </c>
      <c r="D21" s="926" t="s">
        <v>29</v>
      </c>
      <c r="E21" s="963">
        <v>4.0599999999999996</v>
      </c>
      <c r="F21" s="1025" t="s">
        <v>631</v>
      </c>
      <c r="G21" s="1025" t="s">
        <v>637</v>
      </c>
      <c r="H21" s="1026">
        <v>2018</v>
      </c>
      <c r="I21" s="927">
        <v>9</v>
      </c>
      <c r="J21" s="929">
        <f>SUM(E21)*I21/100</f>
        <v>0.3654</v>
      </c>
      <c r="K21" s="963"/>
      <c r="L21" s="963">
        <v>70</v>
      </c>
      <c r="M21" s="929">
        <f t="shared" si="5"/>
        <v>3.0977799999999998</v>
      </c>
      <c r="N21" s="963">
        <v>70</v>
      </c>
      <c r="O21" s="929">
        <f>SUM(E21+J21+K21)*N21/100</f>
        <v>3.0977799999999998</v>
      </c>
      <c r="P21" s="963"/>
      <c r="Q21" s="963"/>
      <c r="R21" s="963"/>
      <c r="S21" s="963"/>
      <c r="T21" s="933">
        <v>0.7</v>
      </c>
      <c r="U21" s="963">
        <v>0.5</v>
      </c>
      <c r="V21" s="928">
        <f t="shared" si="2"/>
        <v>7.7609599999999999</v>
      </c>
      <c r="W21" s="929">
        <f t="shared" si="3"/>
        <v>1.0399689999999999</v>
      </c>
      <c r="X21" s="929">
        <f t="shared" si="6"/>
        <v>12.860928999999999</v>
      </c>
      <c r="Y21" s="986">
        <f t="shared" si="4"/>
        <v>17876691.309999999</v>
      </c>
    </row>
    <row r="22" spans="1:25">
      <c r="A22" s="958">
        <v>10</v>
      </c>
      <c r="B22" s="924" t="s">
        <v>71</v>
      </c>
      <c r="C22" s="925">
        <v>25721</v>
      </c>
      <c r="D22" s="926" t="s">
        <v>36</v>
      </c>
      <c r="E22" s="958">
        <v>3.86</v>
      </c>
      <c r="F22" s="1025" t="s">
        <v>631</v>
      </c>
      <c r="G22" s="1025" t="s">
        <v>638</v>
      </c>
      <c r="H22" s="1026">
        <v>2017</v>
      </c>
      <c r="I22" s="938"/>
      <c r="J22" s="963"/>
      <c r="K22" s="939"/>
      <c r="L22" s="939">
        <v>70</v>
      </c>
      <c r="M22" s="929">
        <f t="shared" si="5"/>
        <v>2.702</v>
      </c>
      <c r="N22" s="939">
        <v>70</v>
      </c>
      <c r="O22" s="929">
        <f>SUM(E22+J22+K22)*N22/100</f>
        <v>2.702</v>
      </c>
      <c r="P22" s="940"/>
      <c r="Q22" s="939">
        <v>0.1</v>
      </c>
      <c r="R22" s="940"/>
      <c r="S22" s="940"/>
      <c r="T22" s="941">
        <v>0.7</v>
      </c>
      <c r="U22" s="939">
        <v>0.5</v>
      </c>
      <c r="V22" s="928">
        <f t="shared" si="2"/>
        <v>6.7039999999999997</v>
      </c>
      <c r="W22" s="929">
        <f t="shared" si="3"/>
        <v>0.90709999999999991</v>
      </c>
      <c r="X22" s="929">
        <f t="shared" si="6"/>
        <v>11.4711</v>
      </c>
      <c r="Y22" s="986">
        <f t="shared" si="4"/>
        <v>15944829</v>
      </c>
    </row>
    <row r="23" spans="1:25">
      <c r="A23" s="958">
        <v>11</v>
      </c>
      <c r="B23" s="924" t="s">
        <v>72</v>
      </c>
      <c r="C23" s="930" t="s">
        <v>652</v>
      </c>
      <c r="D23" s="926" t="s">
        <v>38</v>
      </c>
      <c r="E23" s="963">
        <v>3.86</v>
      </c>
      <c r="F23" s="1025" t="s">
        <v>631</v>
      </c>
      <c r="G23" s="1025" t="s">
        <v>638</v>
      </c>
      <c r="H23" s="1026">
        <v>2017</v>
      </c>
      <c r="I23" s="927"/>
      <c r="J23" s="963"/>
      <c r="K23" s="963"/>
      <c r="L23" s="963">
        <v>70</v>
      </c>
      <c r="M23" s="929">
        <f t="shared" si="5"/>
        <v>2.702</v>
      </c>
      <c r="N23" s="963"/>
      <c r="O23" s="929"/>
      <c r="P23" s="963"/>
      <c r="Q23" s="963"/>
      <c r="R23" s="963"/>
      <c r="S23" s="963"/>
      <c r="T23" s="933">
        <v>0.7</v>
      </c>
      <c r="U23" s="963">
        <v>0.5</v>
      </c>
      <c r="V23" s="928">
        <f t="shared" si="2"/>
        <v>3.9020000000000001</v>
      </c>
      <c r="W23" s="929">
        <f t="shared" si="3"/>
        <v>0.90709999999999991</v>
      </c>
      <c r="X23" s="929">
        <f t="shared" si="6"/>
        <v>8.6691000000000003</v>
      </c>
      <c r="Y23" s="986">
        <f t="shared" si="4"/>
        <v>12050049</v>
      </c>
    </row>
    <row r="24" spans="1:25">
      <c r="A24" s="958">
        <v>12</v>
      </c>
      <c r="B24" s="924" t="s">
        <v>73</v>
      </c>
      <c r="C24" s="942">
        <v>32462</v>
      </c>
      <c r="D24" s="926" t="s">
        <v>34</v>
      </c>
      <c r="E24" s="963">
        <v>2.46</v>
      </c>
      <c r="F24" s="1025" t="s">
        <v>631</v>
      </c>
      <c r="G24" s="1025" t="s">
        <v>640</v>
      </c>
      <c r="H24" s="1026">
        <v>2017</v>
      </c>
      <c r="I24" s="927"/>
      <c r="J24" s="963"/>
      <c r="K24" s="963"/>
      <c r="L24" s="963">
        <v>70</v>
      </c>
      <c r="M24" s="929">
        <f t="shared" si="5"/>
        <v>1.722</v>
      </c>
      <c r="N24" s="963">
        <v>70</v>
      </c>
      <c r="O24" s="929">
        <f>SUM(E24+J24+K24)*N24/100</f>
        <v>1.722</v>
      </c>
      <c r="P24" s="963"/>
      <c r="Q24" s="963"/>
      <c r="R24" s="963"/>
      <c r="S24" s="963"/>
      <c r="T24" s="927"/>
      <c r="U24" s="963">
        <v>0.5</v>
      </c>
      <c r="V24" s="928">
        <f t="shared" si="2"/>
        <v>3.944</v>
      </c>
      <c r="W24" s="929">
        <f t="shared" si="3"/>
        <v>0.57809999999999995</v>
      </c>
      <c r="X24" s="929">
        <f t="shared" si="6"/>
        <v>6.9821</v>
      </c>
      <c r="Y24" s="986">
        <f t="shared" si="4"/>
        <v>9705119</v>
      </c>
    </row>
    <row r="25" spans="1:25">
      <c r="A25" s="958"/>
      <c r="B25" s="936" t="s">
        <v>74</v>
      </c>
      <c r="C25" s="936"/>
      <c r="D25" s="936"/>
      <c r="E25" s="963"/>
      <c r="F25" s="1025"/>
      <c r="G25" s="1025"/>
      <c r="H25" s="1026"/>
      <c r="I25" s="927"/>
      <c r="J25" s="963"/>
      <c r="K25" s="963"/>
      <c r="L25" s="963"/>
      <c r="M25" s="929"/>
      <c r="N25" s="963"/>
      <c r="O25" s="929"/>
      <c r="P25" s="963"/>
      <c r="Q25" s="963"/>
      <c r="R25" s="963"/>
      <c r="S25" s="963"/>
      <c r="T25" s="927"/>
      <c r="U25" s="963"/>
      <c r="V25" s="928"/>
      <c r="W25" s="929"/>
      <c r="X25" s="929"/>
      <c r="Y25" s="986"/>
    </row>
    <row r="26" spans="1:25">
      <c r="A26" s="958">
        <v>13</v>
      </c>
      <c r="B26" s="970" t="s">
        <v>75</v>
      </c>
      <c r="C26" s="971">
        <v>23995</v>
      </c>
      <c r="D26" s="955" t="s">
        <v>29</v>
      </c>
      <c r="E26" s="934">
        <v>4.0599999999999996</v>
      </c>
      <c r="F26" s="1058" t="s">
        <v>631</v>
      </c>
      <c r="G26" s="1058" t="s">
        <v>669</v>
      </c>
      <c r="H26" s="1059">
        <v>2019</v>
      </c>
      <c r="I26" s="927">
        <v>5</v>
      </c>
      <c r="J26" s="963"/>
      <c r="K26" s="928">
        <v>0.2</v>
      </c>
      <c r="L26" s="963">
        <v>70</v>
      </c>
      <c r="M26" s="929">
        <f>SUM(E26+J26+K26)*L26%</f>
        <v>2.9819999999999998</v>
      </c>
      <c r="N26" s="963">
        <v>70</v>
      </c>
      <c r="O26" s="929">
        <f>SUM(E26+J26+K26)*N26/100</f>
        <v>2.9819999999999998</v>
      </c>
      <c r="P26" s="963"/>
      <c r="Q26" s="963"/>
      <c r="R26" s="963"/>
      <c r="S26" s="963"/>
      <c r="T26" s="927">
        <v>0.5</v>
      </c>
      <c r="U26" s="963">
        <v>0.4</v>
      </c>
      <c r="V26" s="928">
        <f t="shared" si="2"/>
        <v>7.0640000000000001</v>
      </c>
      <c r="W26" s="929">
        <f t="shared" si="3"/>
        <v>1.0010999999999999</v>
      </c>
      <c r="X26" s="929">
        <f>SUM(E26+V26+W26)</f>
        <v>12.125099999999998</v>
      </c>
      <c r="Y26" s="986">
        <f t="shared" si="4"/>
        <v>16853888.999999996</v>
      </c>
    </row>
    <row r="27" spans="1:25">
      <c r="A27" s="958">
        <v>14</v>
      </c>
      <c r="B27" s="924" t="s">
        <v>76</v>
      </c>
      <c r="C27" s="930" t="s">
        <v>653</v>
      </c>
      <c r="D27" s="926" t="s">
        <v>29</v>
      </c>
      <c r="E27" s="963">
        <v>4.0599999999999996</v>
      </c>
      <c r="F27" s="1025" t="s">
        <v>631</v>
      </c>
      <c r="G27" s="1025" t="s">
        <v>638</v>
      </c>
      <c r="H27" s="1026">
        <v>2017</v>
      </c>
      <c r="I27" s="927"/>
      <c r="J27" s="963"/>
      <c r="K27" s="963">
        <v>0.15</v>
      </c>
      <c r="L27" s="963">
        <v>70</v>
      </c>
      <c r="M27" s="929">
        <f>SUM(E27+J27+K27)*L27%</f>
        <v>2.9469999999999996</v>
      </c>
      <c r="N27" s="963">
        <v>70</v>
      </c>
      <c r="O27" s="929">
        <f>SUM(E27+J27+K27)*N27/100</f>
        <v>2.9470000000000001</v>
      </c>
      <c r="P27" s="963"/>
      <c r="Q27" s="963"/>
      <c r="R27" s="963"/>
      <c r="S27" s="963"/>
      <c r="T27" s="933">
        <v>0.7</v>
      </c>
      <c r="U27" s="963">
        <v>0.4</v>
      </c>
      <c r="V27" s="928">
        <f t="shared" si="2"/>
        <v>7.1440000000000001</v>
      </c>
      <c r="W27" s="929">
        <f t="shared" si="3"/>
        <v>0.98934999999999995</v>
      </c>
      <c r="X27" s="929">
        <f>SUM(E27+V27+W27)</f>
        <v>12.193350000000001</v>
      </c>
      <c r="Y27" s="986">
        <f t="shared" si="4"/>
        <v>16948756.5</v>
      </c>
    </row>
    <row r="28" spans="1:25">
      <c r="A28" s="958">
        <v>15</v>
      </c>
      <c r="B28" s="924" t="s">
        <v>77</v>
      </c>
      <c r="C28" s="925">
        <v>28073</v>
      </c>
      <c r="D28" s="926" t="s">
        <v>38</v>
      </c>
      <c r="E28" s="963">
        <v>3.86</v>
      </c>
      <c r="F28" s="1025" t="s">
        <v>631</v>
      </c>
      <c r="G28" s="1025" t="s">
        <v>638</v>
      </c>
      <c r="H28" s="1026">
        <v>2017</v>
      </c>
      <c r="I28" s="927"/>
      <c r="J28" s="963"/>
      <c r="K28" s="963"/>
      <c r="L28" s="963">
        <v>70</v>
      </c>
      <c r="M28" s="929">
        <f>SUM(E28+J28+K28)*L28%</f>
        <v>2.702</v>
      </c>
      <c r="N28" s="963">
        <v>70</v>
      </c>
      <c r="O28" s="929">
        <f>SUM(E28+J28+K28)*N28/100</f>
        <v>2.702</v>
      </c>
      <c r="P28" s="963"/>
      <c r="Q28" s="963"/>
      <c r="R28" s="963"/>
      <c r="S28" s="963"/>
      <c r="T28" s="927">
        <v>0.5</v>
      </c>
      <c r="U28" s="963">
        <v>0.4</v>
      </c>
      <c r="V28" s="928">
        <f t="shared" si="2"/>
        <v>6.3040000000000003</v>
      </c>
      <c r="W28" s="929">
        <f t="shared" si="3"/>
        <v>0.90709999999999991</v>
      </c>
      <c r="X28" s="929">
        <f>SUM(E28+V28+W28)</f>
        <v>11.071099999999999</v>
      </c>
      <c r="Y28" s="986">
        <f t="shared" si="4"/>
        <v>15388829</v>
      </c>
    </row>
    <row r="29" spans="1:25">
      <c r="A29" s="958">
        <v>16</v>
      </c>
      <c r="B29" s="924" t="s">
        <v>114</v>
      </c>
      <c r="C29" s="925">
        <v>26035</v>
      </c>
      <c r="D29" s="926" t="s">
        <v>36</v>
      </c>
      <c r="E29" s="963">
        <v>3.86</v>
      </c>
      <c r="F29" s="1025" t="s">
        <v>631</v>
      </c>
      <c r="G29" s="1025" t="s">
        <v>637</v>
      </c>
      <c r="H29" s="1026">
        <v>2017</v>
      </c>
      <c r="I29" s="927"/>
      <c r="J29" s="963"/>
      <c r="K29" s="963"/>
      <c r="L29" s="963">
        <v>70</v>
      </c>
      <c r="M29" s="929">
        <f>SUM(E29+J29+K29)*L29%</f>
        <v>2.702</v>
      </c>
      <c r="N29" s="963"/>
      <c r="O29" s="929"/>
      <c r="P29" s="963"/>
      <c r="Q29" s="963">
        <v>0.1</v>
      </c>
      <c r="R29" s="963"/>
      <c r="S29" s="963"/>
      <c r="T29" s="943">
        <v>1</v>
      </c>
      <c r="U29" s="963">
        <v>0.4</v>
      </c>
      <c r="V29" s="928">
        <f t="shared" si="2"/>
        <v>4.202</v>
      </c>
      <c r="W29" s="929">
        <f t="shared" si="3"/>
        <v>0.90709999999999991</v>
      </c>
      <c r="X29" s="929">
        <f>SUM(E29+V29+W29)</f>
        <v>8.9690999999999992</v>
      </c>
      <c r="Y29" s="986">
        <f t="shared" si="4"/>
        <v>12467048.999999998</v>
      </c>
    </row>
    <row r="30" spans="1:25">
      <c r="A30" s="958">
        <v>17</v>
      </c>
      <c r="B30" s="924" t="s">
        <v>78</v>
      </c>
      <c r="C30" s="930" t="s">
        <v>79</v>
      </c>
      <c r="D30" s="926" t="s">
        <v>29</v>
      </c>
      <c r="E30" s="963">
        <v>3.86</v>
      </c>
      <c r="F30" s="1025" t="s">
        <v>631</v>
      </c>
      <c r="G30" s="1025" t="s">
        <v>638</v>
      </c>
      <c r="H30" s="1026">
        <v>2017</v>
      </c>
      <c r="I30" s="927"/>
      <c r="J30" s="963"/>
      <c r="K30" s="963"/>
      <c r="L30" s="963">
        <v>70</v>
      </c>
      <c r="M30" s="929">
        <f>SUM(E30+J30+K30)*L30%</f>
        <v>2.702</v>
      </c>
      <c r="N30" s="963">
        <v>70</v>
      </c>
      <c r="O30" s="929">
        <f>SUM(E30+J30+K30)*N30/100</f>
        <v>2.702</v>
      </c>
      <c r="P30" s="963"/>
      <c r="Q30" s="963"/>
      <c r="R30" s="963"/>
      <c r="S30" s="963"/>
      <c r="T30" s="933">
        <v>0.5</v>
      </c>
      <c r="U30" s="963">
        <v>0.4</v>
      </c>
      <c r="V30" s="928">
        <f t="shared" si="2"/>
        <v>6.3040000000000003</v>
      </c>
      <c r="W30" s="929">
        <f t="shared" si="3"/>
        <v>0.90709999999999991</v>
      </c>
      <c r="X30" s="929">
        <f>SUM(E30+V30+W30)</f>
        <v>11.071099999999999</v>
      </c>
      <c r="Y30" s="986">
        <f t="shared" si="4"/>
        <v>15388829</v>
      </c>
    </row>
    <row r="31" spans="1:25">
      <c r="A31" s="958"/>
      <c r="B31" s="1368" t="s">
        <v>82</v>
      </c>
      <c r="C31" s="1369"/>
      <c r="D31" s="936"/>
      <c r="E31" s="963"/>
      <c r="F31" s="1025"/>
      <c r="G31" s="1025"/>
      <c r="H31" s="1026"/>
      <c r="I31" s="927"/>
      <c r="J31" s="963"/>
      <c r="K31" s="963"/>
      <c r="L31" s="963"/>
      <c r="M31" s="929"/>
      <c r="N31" s="963"/>
      <c r="O31" s="929"/>
      <c r="P31" s="963"/>
      <c r="Q31" s="963"/>
      <c r="R31" s="963"/>
      <c r="S31" s="963"/>
      <c r="T31" s="927"/>
      <c r="U31" s="963"/>
      <c r="V31" s="928"/>
      <c r="W31" s="929"/>
      <c r="X31" s="929"/>
      <c r="Y31" s="986"/>
    </row>
    <row r="32" spans="1:25">
      <c r="A32" s="958">
        <v>18</v>
      </c>
      <c r="B32" s="924" t="s">
        <v>83</v>
      </c>
      <c r="C32" s="925">
        <v>23668</v>
      </c>
      <c r="D32" s="926" t="s">
        <v>60</v>
      </c>
      <c r="E32" s="963">
        <v>4.9800000000000004</v>
      </c>
      <c r="F32" s="1032" t="s">
        <v>631</v>
      </c>
      <c r="G32" s="1032" t="s">
        <v>636</v>
      </c>
      <c r="H32" s="1057">
        <v>2019</v>
      </c>
      <c r="I32" s="927"/>
      <c r="J32" s="963"/>
      <c r="K32" s="928">
        <v>0.2</v>
      </c>
      <c r="L32" s="963">
        <v>70</v>
      </c>
      <c r="M32" s="929">
        <f t="shared" ref="M32:M37" si="7">SUM(E32+J32+K32)*L32%</f>
        <v>3.6260000000000003</v>
      </c>
      <c r="N32" s="963"/>
      <c r="O32" s="929"/>
      <c r="P32" s="963"/>
      <c r="Q32" s="963"/>
      <c r="R32" s="963"/>
      <c r="S32" s="963"/>
      <c r="T32" s="943">
        <v>0.7</v>
      </c>
      <c r="U32" s="963">
        <v>0.4</v>
      </c>
      <c r="V32" s="928">
        <f t="shared" si="2"/>
        <v>4.926000000000001</v>
      </c>
      <c r="W32" s="929">
        <f t="shared" si="3"/>
        <v>1.2173</v>
      </c>
      <c r="X32" s="929">
        <f t="shared" ref="X32:X36" si="8">SUM(E32+V32+W32)</f>
        <v>11.123300000000002</v>
      </c>
      <c r="Y32" s="986">
        <f t="shared" si="4"/>
        <v>15461387.000000004</v>
      </c>
    </row>
    <row r="33" spans="1:25">
      <c r="A33" s="958">
        <v>19</v>
      </c>
      <c r="B33" s="924" t="s">
        <v>84</v>
      </c>
      <c r="C33" s="925">
        <v>33886</v>
      </c>
      <c r="D33" s="926" t="s">
        <v>29</v>
      </c>
      <c r="E33" s="963">
        <v>2.06</v>
      </c>
      <c r="F33" s="1025" t="s">
        <v>631</v>
      </c>
      <c r="G33" s="1025" t="s">
        <v>637</v>
      </c>
      <c r="H33" s="1026">
        <v>2017</v>
      </c>
      <c r="I33" s="927"/>
      <c r="J33" s="963"/>
      <c r="K33" s="963">
        <v>0.15</v>
      </c>
      <c r="L33" s="963">
        <v>70</v>
      </c>
      <c r="M33" s="929">
        <f t="shared" si="7"/>
        <v>1.5469999999999999</v>
      </c>
      <c r="N33" s="944">
        <v>70</v>
      </c>
      <c r="O33" s="929">
        <f>SUM(E33+J33+K33)*N33/100</f>
        <v>1.5469999999999999</v>
      </c>
      <c r="P33" s="963"/>
      <c r="Q33" s="963"/>
      <c r="R33" s="963"/>
      <c r="S33" s="963"/>
      <c r="T33" s="927"/>
      <c r="U33" s="963">
        <v>0.4</v>
      </c>
      <c r="V33" s="928">
        <f t="shared" si="2"/>
        <v>3.6439999999999997</v>
      </c>
      <c r="W33" s="929">
        <f t="shared" si="3"/>
        <v>0.51934999999999998</v>
      </c>
      <c r="X33" s="929">
        <f t="shared" si="8"/>
        <v>6.2233499999999999</v>
      </c>
      <c r="Y33" s="986">
        <f t="shared" si="4"/>
        <v>8650456.5</v>
      </c>
    </row>
    <row r="34" spans="1:25">
      <c r="A34" s="958">
        <v>20</v>
      </c>
      <c r="B34" s="924" t="s">
        <v>63</v>
      </c>
      <c r="C34" s="930" t="s">
        <v>64</v>
      </c>
      <c r="D34" s="926" t="s">
        <v>36</v>
      </c>
      <c r="E34" s="958">
        <v>2.86</v>
      </c>
      <c r="F34" s="1025" t="s">
        <v>631</v>
      </c>
      <c r="G34" s="1025" t="s">
        <v>631</v>
      </c>
      <c r="H34" s="1060">
        <v>2019</v>
      </c>
      <c r="I34" s="938"/>
      <c r="J34" s="963"/>
      <c r="K34" s="939"/>
      <c r="L34" s="939">
        <v>70</v>
      </c>
      <c r="M34" s="929">
        <f t="shared" si="7"/>
        <v>2.0019999999999998</v>
      </c>
      <c r="N34" s="939"/>
      <c r="O34" s="929"/>
      <c r="P34" s="940"/>
      <c r="Q34" s="939">
        <v>0.1</v>
      </c>
      <c r="R34" s="940"/>
      <c r="S34" s="940"/>
      <c r="T34" s="938">
        <v>0.5</v>
      </c>
      <c r="U34" s="939">
        <v>0.4</v>
      </c>
      <c r="V34" s="928">
        <f t="shared" si="2"/>
        <v>3.0019999999999998</v>
      </c>
      <c r="W34" s="929">
        <f t="shared" si="3"/>
        <v>0.67209999999999992</v>
      </c>
      <c r="X34" s="929">
        <f t="shared" si="8"/>
        <v>6.5341000000000005</v>
      </c>
      <c r="Y34" s="986">
        <f t="shared" si="4"/>
        <v>9082399</v>
      </c>
    </row>
    <row r="35" spans="1:25">
      <c r="A35" s="958">
        <v>21</v>
      </c>
      <c r="B35" s="924" t="s">
        <v>86</v>
      </c>
      <c r="C35" s="925">
        <v>30477</v>
      </c>
      <c r="D35" s="926" t="s">
        <v>29</v>
      </c>
      <c r="E35" s="958">
        <v>2.86</v>
      </c>
      <c r="F35" s="1025" t="s">
        <v>631</v>
      </c>
      <c r="G35" s="1025" t="s">
        <v>631</v>
      </c>
      <c r="H35" s="1060">
        <v>2019</v>
      </c>
      <c r="I35" s="927"/>
      <c r="J35" s="963"/>
      <c r="K35" s="963"/>
      <c r="L35" s="963">
        <v>70</v>
      </c>
      <c r="M35" s="929">
        <f t="shared" si="7"/>
        <v>2.0019999999999998</v>
      </c>
      <c r="N35" s="963"/>
      <c r="O35" s="929"/>
      <c r="P35" s="963"/>
      <c r="Q35" s="963"/>
      <c r="R35" s="963"/>
      <c r="S35" s="963"/>
      <c r="T35" s="927">
        <v>0.5</v>
      </c>
      <c r="U35" s="963">
        <v>0.4</v>
      </c>
      <c r="V35" s="928">
        <f t="shared" si="2"/>
        <v>2.9019999999999997</v>
      </c>
      <c r="W35" s="929">
        <f t="shared" si="3"/>
        <v>0.67209999999999992</v>
      </c>
      <c r="X35" s="929">
        <f t="shared" si="8"/>
        <v>6.434099999999999</v>
      </c>
      <c r="Y35" s="986">
        <f t="shared" si="4"/>
        <v>8943398.9999999981</v>
      </c>
    </row>
    <row r="36" spans="1:25">
      <c r="A36" s="958">
        <v>22</v>
      </c>
      <c r="B36" s="924" t="s">
        <v>87</v>
      </c>
      <c r="C36" s="925">
        <v>30380</v>
      </c>
      <c r="D36" s="926" t="s">
        <v>34</v>
      </c>
      <c r="E36" s="958">
        <v>2.86</v>
      </c>
      <c r="F36" s="1025" t="s">
        <v>631</v>
      </c>
      <c r="G36" s="1025" t="s">
        <v>631</v>
      </c>
      <c r="H36" s="1060">
        <v>2019</v>
      </c>
      <c r="I36" s="927"/>
      <c r="J36" s="963"/>
      <c r="K36" s="963"/>
      <c r="L36" s="963">
        <v>70</v>
      </c>
      <c r="M36" s="929">
        <f t="shared" si="7"/>
        <v>2.0019999999999998</v>
      </c>
      <c r="N36" s="963"/>
      <c r="O36" s="929"/>
      <c r="P36" s="963"/>
      <c r="Q36" s="963"/>
      <c r="R36" s="963"/>
      <c r="S36" s="963"/>
      <c r="T36" s="927">
        <v>0.5</v>
      </c>
      <c r="U36" s="963">
        <v>0.4</v>
      </c>
      <c r="V36" s="928">
        <f t="shared" si="2"/>
        <v>2.9019999999999997</v>
      </c>
      <c r="W36" s="929">
        <f t="shared" si="3"/>
        <v>0.67209999999999992</v>
      </c>
      <c r="X36" s="929">
        <f t="shared" si="8"/>
        <v>6.434099999999999</v>
      </c>
      <c r="Y36" s="986">
        <f t="shared" si="4"/>
        <v>8943398.9999999981</v>
      </c>
    </row>
    <row r="37" spans="1:25" s="13" customFormat="1">
      <c r="A37" s="958">
        <v>23</v>
      </c>
      <c r="B37" s="1004" t="s">
        <v>88</v>
      </c>
      <c r="C37" s="1005">
        <v>34682</v>
      </c>
      <c r="D37" s="926" t="s">
        <v>38</v>
      </c>
      <c r="E37" s="958">
        <v>2.06</v>
      </c>
      <c r="F37" s="1025" t="s">
        <v>631</v>
      </c>
      <c r="G37" s="1025" t="s">
        <v>675</v>
      </c>
      <c r="H37" s="1060">
        <v>2019</v>
      </c>
      <c r="I37" s="927"/>
      <c r="J37" s="963"/>
      <c r="K37" s="963"/>
      <c r="L37" s="963">
        <v>70</v>
      </c>
      <c r="M37" s="929">
        <f t="shared" si="7"/>
        <v>1.4419999999999999</v>
      </c>
      <c r="N37" s="963">
        <v>70</v>
      </c>
      <c r="O37" s="929">
        <f>SUM(E37+J37+K37)*N37/100</f>
        <v>1.4420000000000002</v>
      </c>
      <c r="P37" s="963"/>
      <c r="Q37" s="963"/>
      <c r="R37" s="963"/>
      <c r="S37" s="963"/>
      <c r="T37" s="927"/>
      <c r="U37" s="963"/>
      <c r="V37" s="928"/>
      <c r="W37" s="929">
        <f t="shared" si="3"/>
        <v>0.48409999999999997</v>
      </c>
      <c r="X37" s="929"/>
      <c r="Y37" s="986"/>
    </row>
    <row r="38" spans="1:25">
      <c r="A38" s="958"/>
      <c r="B38" s="1372" t="s">
        <v>90</v>
      </c>
      <c r="C38" s="1373"/>
      <c r="D38" s="947"/>
      <c r="E38" s="964"/>
      <c r="F38" s="1025"/>
      <c r="G38" s="1025"/>
      <c r="H38" s="1026"/>
      <c r="I38" s="947"/>
      <c r="J38" s="947"/>
      <c r="K38" s="947"/>
      <c r="L38" s="947"/>
      <c r="M38" s="929"/>
      <c r="N38" s="947"/>
      <c r="O38" s="929"/>
      <c r="P38" s="947"/>
      <c r="Q38" s="947"/>
      <c r="R38" s="947"/>
      <c r="S38" s="947"/>
      <c r="T38" s="947"/>
      <c r="U38" s="947"/>
      <c r="V38" s="928"/>
      <c r="W38" s="929"/>
      <c r="X38" s="929"/>
      <c r="Y38" s="988"/>
    </row>
    <row r="39" spans="1:25">
      <c r="A39" s="958">
        <v>24</v>
      </c>
      <c r="B39" s="924" t="s">
        <v>91</v>
      </c>
      <c r="C39" s="930" t="s">
        <v>654</v>
      </c>
      <c r="D39" s="926" t="s">
        <v>29</v>
      </c>
      <c r="E39" s="934">
        <v>4.0599999999999996</v>
      </c>
      <c r="F39" s="1025" t="s">
        <v>631</v>
      </c>
      <c r="G39" s="1025" t="s">
        <v>631</v>
      </c>
      <c r="H39" s="1060">
        <v>2019</v>
      </c>
      <c r="I39" s="933">
        <v>7</v>
      </c>
      <c r="J39" s="937">
        <f>SUM(E39)*I39/100</f>
        <v>0.28420000000000001</v>
      </c>
      <c r="K39" s="928">
        <v>0.2</v>
      </c>
      <c r="L39" s="963">
        <v>70</v>
      </c>
      <c r="M39" s="929">
        <f t="shared" ref="M39:M45" si="9">SUM(E39+J39+K39)*L39%</f>
        <v>3.1809399999999997</v>
      </c>
      <c r="N39" s="963">
        <v>70</v>
      </c>
      <c r="O39" s="929">
        <f>SUM(E39+J39+K39)*N39/100</f>
        <v>3.1809400000000001</v>
      </c>
      <c r="P39" s="963"/>
      <c r="Q39" s="963"/>
      <c r="R39" s="963"/>
      <c r="S39" s="963"/>
      <c r="T39" s="933">
        <v>0.7</v>
      </c>
      <c r="U39" s="963">
        <v>0.4</v>
      </c>
      <c r="V39" s="928">
        <f>SUM(J39+K39+M39+O39+P39+Q39+R39+S39+T39+U39)</f>
        <v>7.9460800000000003</v>
      </c>
      <c r="W39" s="929">
        <f t="shared" si="3"/>
        <v>1.067887</v>
      </c>
      <c r="X39" s="929">
        <f t="shared" ref="X39:X45" si="10">SUM(E39+V39+W39)</f>
        <v>13.073967000000001</v>
      </c>
      <c r="Y39" s="986">
        <f t="shared" si="4"/>
        <v>18172814.130000003</v>
      </c>
    </row>
    <row r="40" spans="1:25" s="13" customFormat="1">
      <c r="A40" s="958">
        <v>25</v>
      </c>
      <c r="B40" s="924" t="s">
        <v>98</v>
      </c>
      <c r="C40" s="925">
        <v>34153</v>
      </c>
      <c r="D40" s="955" t="s">
        <v>60</v>
      </c>
      <c r="E40" s="934">
        <v>2.34</v>
      </c>
      <c r="F40" s="1025" t="s">
        <v>631</v>
      </c>
      <c r="G40" s="1025" t="s">
        <v>675</v>
      </c>
      <c r="H40" s="1060">
        <v>2019</v>
      </c>
      <c r="I40" s="933"/>
      <c r="J40" s="937"/>
      <c r="K40" s="928"/>
      <c r="L40" s="963"/>
      <c r="M40" s="929"/>
      <c r="N40" s="963"/>
      <c r="O40" s="929"/>
      <c r="P40" s="963"/>
      <c r="Q40" s="963"/>
      <c r="R40" s="963"/>
      <c r="S40" s="963"/>
      <c r="T40" s="933"/>
      <c r="U40" s="963"/>
      <c r="V40" s="928"/>
      <c r="W40" s="929"/>
      <c r="X40" s="929"/>
      <c r="Y40" s="986"/>
    </row>
    <row r="41" spans="1:25">
      <c r="A41" s="958">
        <v>26</v>
      </c>
      <c r="B41" s="924" t="s">
        <v>92</v>
      </c>
      <c r="C41" s="925">
        <v>24847</v>
      </c>
      <c r="D41" s="926" t="s">
        <v>29</v>
      </c>
      <c r="E41" s="958">
        <v>4.0599999999999996</v>
      </c>
      <c r="F41" s="1025" t="s">
        <v>631</v>
      </c>
      <c r="G41" s="1025" t="s">
        <v>637</v>
      </c>
      <c r="H41" s="1026">
        <v>2018</v>
      </c>
      <c r="I41" s="948">
        <v>8</v>
      </c>
      <c r="J41" s="963">
        <f>SUM(E41)*I41/100</f>
        <v>0.32479999999999998</v>
      </c>
      <c r="K41" s="939">
        <v>0.15</v>
      </c>
      <c r="L41" s="939">
        <v>70</v>
      </c>
      <c r="M41" s="929">
        <f t="shared" si="9"/>
        <v>3.1743599999999996</v>
      </c>
      <c r="N41" s="939"/>
      <c r="O41" s="929"/>
      <c r="P41" s="940"/>
      <c r="Q41" s="939"/>
      <c r="R41" s="940"/>
      <c r="S41" s="940"/>
      <c r="T41" s="949">
        <v>0.7</v>
      </c>
      <c r="U41" s="939">
        <v>0.4</v>
      </c>
      <c r="V41" s="928">
        <f t="shared" ref="V41:V74" si="11">SUM(J41+K41+M41+O41+P41+Q41+R41+S41+T41+U41)</f>
        <v>4.7491599999999998</v>
      </c>
      <c r="W41" s="929">
        <f t="shared" si="3"/>
        <v>1.0656779999999999</v>
      </c>
      <c r="X41" s="929">
        <f t="shared" si="10"/>
        <v>9.8748379999999987</v>
      </c>
      <c r="Y41" s="986">
        <f t="shared" si="4"/>
        <v>13726024.819999998</v>
      </c>
    </row>
    <row r="42" spans="1:25">
      <c r="A42" s="958">
        <v>27</v>
      </c>
      <c r="B42" s="924" t="s">
        <v>104</v>
      </c>
      <c r="C42" s="925">
        <v>31447</v>
      </c>
      <c r="D42" s="926" t="s">
        <v>29</v>
      </c>
      <c r="E42" s="963">
        <v>2.86</v>
      </c>
      <c r="F42" s="1025" t="s">
        <v>631</v>
      </c>
      <c r="G42" s="1025" t="s">
        <v>631</v>
      </c>
      <c r="H42" s="1060">
        <v>2019</v>
      </c>
      <c r="I42" s="927"/>
      <c r="J42" s="963"/>
      <c r="K42" s="963"/>
      <c r="L42" s="963">
        <v>70</v>
      </c>
      <c r="M42" s="929">
        <f t="shared" si="9"/>
        <v>2.0019999999999998</v>
      </c>
      <c r="N42" s="963"/>
      <c r="O42" s="929"/>
      <c r="P42" s="963"/>
      <c r="Q42" s="963"/>
      <c r="R42" s="963"/>
      <c r="S42" s="963"/>
      <c r="T42" s="927">
        <v>0.5</v>
      </c>
      <c r="U42" s="963">
        <v>0.4</v>
      </c>
      <c r="V42" s="928">
        <f t="shared" si="11"/>
        <v>2.9019999999999997</v>
      </c>
      <c r="W42" s="929">
        <f t="shared" si="3"/>
        <v>0.67209999999999992</v>
      </c>
      <c r="X42" s="929">
        <f t="shared" si="10"/>
        <v>6.434099999999999</v>
      </c>
      <c r="Y42" s="986">
        <f t="shared" si="4"/>
        <v>8943398.9999999981</v>
      </c>
    </row>
    <row r="43" spans="1:25">
      <c r="A43" s="958">
        <v>28</v>
      </c>
      <c r="B43" s="924" t="s">
        <v>93</v>
      </c>
      <c r="C43" s="930" t="s">
        <v>94</v>
      </c>
      <c r="D43" s="926" t="s">
        <v>38</v>
      </c>
      <c r="E43" s="934">
        <v>3.06</v>
      </c>
      <c r="F43" s="1025" t="s">
        <v>631</v>
      </c>
      <c r="G43" s="1025" t="s">
        <v>642</v>
      </c>
      <c r="H43" s="1026">
        <v>2018</v>
      </c>
      <c r="I43" s="927"/>
      <c r="J43" s="963"/>
      <c r="K43" s="963"/>
      <c r="L43" s="963">
        <v>70</v>
      </c>
      <c r="M43" s="929">
        <f t="shared" si="9"/>
        <v>2.1419999999999999</v>
      </c>
      <c r="N43" s="963">
        <v>70</v>
      </c>
      <c r="O43" s="929">
        <f>SUM(E43+J43+K43)*N43/100</f>
        <v>2.1420000000000003</v>
      </c>
      <c r="P43" s="963"/>
      <c r="Q43" s="963"/>
      <c r="R43" s="963"/>
      <c r="S43" s="963"/>
      <c r="T43" s="927">
        <v>0.5</v>
      </c>
      <c r="U43" s="963">
        <v>0.4</v>
      </c>
      <c r="V43" s="928">
        <f t="shared" si="11"/>
        <v>5.1840000000000011</v>
      </c>
      <c r="W43" s="929">
        <f t="shared" si="3"/>
        <v>0.71909999999999996</v>
      </c>
      <c r="X43" s="929">
        <f t="shared" si="10"/>
        <v>8.9631000000000007</v>
      </c>
      <c r="Y43" s="986">
        <f t="shared" si="4"/>
        <v>12458709.000000002</v>
      </c>
    </row>
    <row r="44" spans="1:25">
      <c r="A44" s="958">
        <v>29</v>
      </c>
      <c r="B44" s="924" t="s">
        <v>105</v>
      </c>
      <c r="C44" s="930" t="s">
        <v>106</v>
      </c>
      <c r="D44" s="926" t="s">
        <v>36</v>
      </c>
      <c r="E44" s="963">
        <v>3.86</v>
      </c>
      <c r="F44" s="1025" t="s">
        <v>631</v>
      </c>
      <c r="G44" s="1025" t="s">
        <v>637</v>
      </c>
      <c r="H44" s="1026">
        <v>2017</v>
      </c>
      <c r="I44" s="927"/>
      <c r="J44" s="963"/>
      <c r="K44" s="963"/>
      <c r="L44" s="963">
        <v>70</v>
      </c>
      <c r="M44" s="929">
        <f t="shared" si="9"/>
        <v>2.702</v>
      </c>
      <c r="N44" s="963"/>
      <c r="O44" s="929"/>
      <c r="P44" s="963"/>
      <c r="Q44" s="963">
        <v>0.1</v>
      </c>
      <c r="R44" s="963"/>
      <c r="S44" s="963"/>
      <c r="T44" s="927">
        <v>0.7</v>
      </c>
      <c r="U44" s="963">
        <v>0.4</v>
      </c>
      <c r="V44" s="928">
        <f t="shared" si="11"/>
        <v>3.9019999999999997</v>
      </c>
      <c r="W44" s="929">
        <f t="shared" si="3"/>
        <v>0.90709999999999991</v>
      </c>
      <c r="X44" s="929">
        <f t="shared" si="10"/>
        <v>8.6691000000000003</v>
      </c>
      <c r="Y44" s="986">
        <f t="shared" si="4"/>
        <v>12050049</v>
      </c>
    </row>
    <row r="45" spans="1:25">
      <c r="A45" s="958">
        <v>30</v>
      </c>
      <c r="B45" s="924" t="s">
        <v>95</v>
      </c>
      <c r="C45" s="925" t="s">
        <v>96</v>
      </c>
      <c r="D45" s="926" t="s">
        <v>34</v>
      </c>
      <c r="E45" s="951">
        <v>2.66</v>
      </c>
      <c r="F45" s="1025" t="s">
        <v>631</v>
      </c>
      <c r="G45" s="1025" t="s">
        <v>631</v>
      </c>
      <c r="H45" s="1026">
        <v>2018</v>
      </c>
      <c r="I45" s="938"/>
      <c r="J45" s="963"/>
      <c r="K45" s="939"/>
      <c r="L45" s="939">
        <v>70</v>
      </c>
      <c r="M45" s="929">
        <f t="shared" si="9"/>
        <v>1.8619999999999999</v>
      </c>
      <c r="N45" s="939">
        <v>70</v>
      </c>
      <c r="O45" s="929">
        <f>SUM(E45+J45+K45)*N45/100</f>
        <v>1.8620000000000001</v>
      </c>
      <c r="P45" s="940"/>
      <c r="Q45" s="939"/>
      <c r="R45" s="940"/>
      <c r="S45" s="940"/>
      <c r="T45" s="938">
        <v>0.5</v>
      </c>
      <c r="U45" s="939">
        <v>0.4</v>
      </c>
      <c r="V45" s="928">
        <f t="shared" si="11"/>
        <v>4.6240000000000006</v>
      </c>
      <c r="W45" s="929">
        <f t="shared" si="3"/>
        <v>0.62509999999999999</v>
      </c>
      <c r="X45" s="929">
        <f t="shared" si="10"/>
        <v>7.9091000000000005</v>
      </c>
      <c r="Y45" s="986">
        <f t="shared" si="4"/>
        <v>10993649</v>
      </c>
    </row>
    <row r="46" spans="1:25">
      <c r="A46" s="958"/>
      <c r="B46" s="1368" t="s">
        <v>99</v>
      </c>
      <c r="C46" s="1369"/>
      <c r="D46" s="932"/>
      <c r="E46" s="963"/>
      <c r="F46" s="1025"/>
      <c r="G46" s="1025"/>
      <c r="H46" s="1026"/>
      <c r="I46" s="927"/>
      <c r="J46" s="963"/>
      <c r="K46" s="963"/>
      <c r="L46" s="963"/>
      <c r="M46" s="929"/>
      <c r="N46" s="963"/>
      <c r="O46" s="929"/>
      <c r="P46" s="963"/>
      <c r="Q46" s="963"/>
      <c r="R46" s="963"/>
      <c r="S46" s="963"/>
      <c r="T46" s="927"/>
      <c r="U46" s="963"/>
      <c r="V46" s="928"/>
      <c r="W46" s="929"/>
      <c r="X46" s="929"/>
      <c r="Y46" s="986"/>
    </row>
    <row r="47" spans="1:25" s="171" customFormat="1">
      <c r="A47" s="958">
        <v>31</v>
      </c>
      <c r="B47" s="970" t="s">
        <v>100</v>
      </c>
      <c r="C47" s="985" t="s">
        <v>101</v>
      </c>
      <c r="D47" s="955" t="s">
        <v>60</v>
      </c>
      <c r="E47" s="951">
        <v>3.99</v>
      </c>
      <c r="F47" s="1034" t="s">
        <v>631</v>
      </c>
      <c r="G47" s="1034" t="s">
        <v>632</v>
      </c>
      <c r="H47" s="1060">
        <v>2019</v>
      </c>
      <c r="I47" s="941"/>
      <c r="J47" s="934"/>
      <c r="K47" s="965">
        <v>0.2</v>
      </c>
      <c r="L47" s="951">
        <v>40</v>
      </c>
      <c r="M47" s="935">
        <f>SUM(E47+J47+K47)*L47%</f>
        <v>1.6760000000000002</v>
      </c>
      <c r="N47" s="951"/>
      <c r="O47" s="935"/>
      <c r="P47" s="959"/>
      <c r="Q47" s="951"/>
      <c r="R47" s="959"/>
      <c r="S47" s="959"/>
      <c r="T47" s="941"/>
      <c r="U47" s="951">
        <v>0.3</v>
      </c>
      <c r="V47" s="937">
        <f t="shared" si="11"/>
        <v>2.1760000000000002</v>
      </c>
      <c r="W47" s="935">
        <f t="shared" si="3"/>
        <v>0.98465000000000003</v>
      </c>
      <c r="X47" s="935">
        <f>SUM(E47+V47+W47)</f>
        <v>7.1506500000000006</v>
      </c>
      <c r="Y47" s="987">
        <f t="shared" si="4"/>
        <v>9939403.5</v>
      </c>
    </row>
    <row r="48" spans="1:25">
      <c r="A48" s="958">
        <v>32</v>
      </c>
      <c r="B48" s="924" t="s">
        <v>102</v>
      </c>
      <c r="C48" s="930" t="s">
        <v>103</v>
      </c>
      <c r="D48" s="926" t="s">
        <v>29</v>
      </c>
      <c r="E48" s="963">
        <v>4.0599999999999996</v>
      </c>
      <c r="F48" s="1025" t="s">
        <v>671</v>
      </c>
      <c r="G48" s="1025" t="s">
        <v>637</v>
      </c>
      <c r="H48" s="1026">
        <v>2017</v>
      </c>
      <c r="I48" s="927"/>
      <c r="J48" s="963"/>
      <c r="K48" s="963">
        <v>0.15</v>
      </c>
      <c r="L48" s="963">
        <v>40</v>
      </c>
      <c r="M48" s="929">
        <f>SUM(E48+J48+K48)*L48%</f>
        <v>1.6840000000000002</v>
      </c>
      <c r="N48" s="963"/>
      <c r="O48" s="929"/>
      <c r="P48" s="963"/>
      <c r="Q48" s="963"/>
      <c r="R48" s="963"/>
      <c r="S48" s="963"/>
      <c r="T48" s="927"/>
      <c r="U48" s="963">
        <v>0.3</v>
      </c>
      <c r="V48" s="928">
        <f t="shared" si="11"/>
        <v>2.1339999999999999</v>
      </c>
      <c r="W48" s="929">
        <f t="shared" si="3"/>
        <v>0.98934999999999995</v>
      </c>
      <c r="X48" s="929">
        <f>SUM(E48+V48+W48)</f>
        <v>7.183349999999999</v>
      </c>
      <c r="Y48" s="986">
        <f t="shared" si="4"/>
        <v>9984856.4999999981</v>
      </c>
    </row>
    <row r="49" spans="1:25">
      <c r="A49" s="958">
        <v>33</v>
      </c>
      <c r="B49" s="924" t="s">
        <v>65</v>
      </c>
      <c r="C49" s="925">
        <v>33953</v>
      </c>
      <c r="D49" s="926" t="s">
        <v>29</v>
      </c>
      <c r="E49" s="963">
        <v>2.06</v>
      </c>
      <c r="F49" s="1025" t="s">
        <v>631</v>
      </c>
      <c r="G49" s="1025" t="s">
        <v>637</v>
      </c>
      <c r="H49" s="1026">
        <v>2017</v>
      </c>
      <c r="I49" s="927"/>
      <c r="J49" s="963"/>
      <c r="K49" s="952"/>
      <c r="L49" s="963">
        <v>40</v>
      </c>
      <c r="M49" s="929">
        <f>SUM(E49+J49+K49)*L49%</f>
        <v>0.82400000000000007</v>
      </c>
      <c r="N49" s="963"/>
      <c r="O49" s="929"/>
      <c r="P49" s="963"/>
      <c r="Q49" s="963"/>
      <c r="R49" s="963"/>
      <c r="S49" s="963"/>
      <c r="T49" s="927"/>
      <c r="U49" s="963">
        <v>0.3</v>
      </c>
      <c r="V49" s="928">
        <f t="shared" si="11"/>
        <v>1.1240000000000001</v>
      </c>
      <c r="W49" s="929">
        <f t="shared" si="3"/>
        <v>0.48409999999999997</v>
      </c>
      <c r="X49" s="929">
        <f>SUM(E49+V49+W49)</f>
        <v>3.6680999999999999</v>
      </c>
      <c r="Y49" s="986">
        <f t="shared" si="4"/>
        <v>5098659</v>
      </c>
    </row>
    <row r="50" spans="1:25">
      <c r="A50" s="958">
        <v>34</v>
      </c>
      <c r="B50" s="924" t="s">
        <v>129</v>
      </c>
      <c r="C50" s="930" t="s">
        <v>130</v>
      </c>
      <c r="D50" s="926" t="s">
        <v>36</v>
      </c>
      <c r="E50" s="963">
        <v>3.46</v>
      </c>
      <c r="F50" s="1025" t="s">
        <v>631</v>
      </c>
      <c r="G50" s="1025" t="s">
        <v>642</v>
      </c>
      <c r="H50" s="1060">
        <v>2019</v>
      </c>
      <c r="I50" s="927"/>
      <c r="J50" s="963"/>
      <c r="K50" s="953"/>
      <c r="L50" s="934">
        <v>40</v>
      </c>
      <c r="M50" s="929">
        <f>SUM(E50+J50+K50)*L50%</f>
        <v>1.3840000000000001</v>
      </c>
      <c r="N50" s="963"/>
      <c r="O50" s="929"/>
      <c r="P50" s="963"/>
      <c r="Q50" s="963">
        <v>0.1</v>
      </c>
      <c r="R50" s="928"/>
      <c r="S50" s="963"/>
      <c r="T50" s="927"/>
      <c r="U50" s="963">
        <v>0.3</v>
      </c>
      <c r="V50" s="928">
        <f t="shared" si="11"/>
        <v>1.7840000000000003</v>
      </c>
      <c r="W50" s="929">
        <f t="shared" si="3"/>
        <v>0.81309999999999993</v>
      </c>
      <c r="X50" s="929">
        <f>SUM(E50+V50+W50)</f>
        <v>6.0571000000000002</v>
      </c>
      <c r="Y50" s="986">
        <f t="shared" si="4"/>
        <v>8419369</v>
      </c>
    </row>
    <row r="51" spans="1:25" s="13" customFormat="1">
      <c r="A51" s="958">
        <v>35</v>
      </c>
      <c r="B51" s="924" t="s">
        <v>107</v>
      </c>
      <c r="C51" s="925">
        <v>33811</v>
      </c>
      <c r="D51" s="926" t="s">
        <v>34</v>
      </c>
      <c r="E51" s="963">
        <v>2.06</v>
      </c>
      <c r="F51" s="1025" t="s">
        <v>631</v>
      </c>
      <c r="G51" s="1025" t="s">
        <v>635</v>
      </c>
      <c r="H51" s="1060">
        <v>2019</v>
      </c>
      <c r="I51" s="927"/>
      <c r="J51" s="963"/>
      <c r="K51" s="953"/>
      <c r="L51" s="934"/>
      <c r="M51" s="929"/>
      <c r="N51" s="963"/>
      <c r="O51" s="929"/>
      <c r="P51" s="963"/>
      <c r="Q51" s="963"/>
      <c r="R51" s="928"/>
      <c r="S51" s="963"/>
      <c r="T51" s="927"/>
      <c r="U51" s="963"/>
      <c r="V51" s="928"/>
      <c r="W51" s="929">
        <f t="shared" si="3"/>
        <v>0.48409999999999997</v>
      </c>
      <c r="X51" s="929"/>
      <c r="Y51" s="986"/>
    </row>
    <row r="52" spans="1:25">
      <c r="A52" s="958"/>
      <c r="B52" s="936" t="s">
        <v>108</v>
      </c>
      <c r="C52" s="936"/>
      <c r="D52" s="936"/>
      <c r="E52" s="958"/>
      <c r="F52" s="1025"/>
      <c r="G52" s="1025"/>
      <c r="H52" s="1026"/>
      <c r="I52" s="938"/>
      <c r="J52" s="963"/>
      <c r="K52" s="939"/>
      <c r="L52" s="939"/>
      <c r="M52" s="929"/>
      <c r="N52" s="939"/>
      <c r="O52" s="929"/>
      <c r="P52" s="940"/>
      <c r="Q52" s="939"/>
      <c r="R52" s="940"/>
      <c r="S52" s="940"/>
      <c r="T52" s="938"/>
      <c r="U52" s="939"/>
      <c r="V52" s="928"/>
      <c r="W52" s="929"/>
      <c r="X52" s="929"/>
      <c r="Y52" s="986"/>
    </row>
    <row r="53" spans="1:25">
      <c r="A53" s="958">
        <v>36</v>
      </c>
      <c r="B53" s="970" t="s">
        <v>109</v>
      </c>
      <c r="C53" s="930" t="s">
        <v>110</v>
      </c>
      <c r="D53" s="926" t="s">
        <v>60</v>
      </c>
      <c r="E53" s="965">
        <v>3.33</v>
      </c>
      <c r="F53" s="1025" t="s">
        <v>631</v>
      </c>
      <c r="G53" s="1025" t="s">
        <v>642</v>
      </c>
      <c r="H53" s="1026">
        <v>2018</v>
      </c>
      <c r="I53" s="938"/>
      <c r="J53" s="963"/>
      <c r="K53" s="950">
        <v>0.2</v>
      </c>
      <c r="L53" s="939">
        <v>70</v>
      </c>
      <c r="M53" s="929">
        <f>SUM(E53+J53+K53)*L53%</f>
        <v>2.4710000000000001</v>
      </c>
      <c r="N53" s="939"/>
      <c r="O53" s="929"/>
      <c r="P53" s="940"/>
      <c r="Q53" s="939"/>
      <c r="R53" s="940"/>
      <c r="S53" s="940"/>
      <c r="T53" s="938">
        <v>0.5</v>
      </c>
      <c r="U53" s="938">
        <v>0.5</v>
      </c>
      <c r="V53" s="928">
        <f t="shared" si="11"/>
        <v>3.6710000000000003</v>
      </c>
      <c r="W53" s="929">
        <f t="shared" si="3"/>
        <v>0.82955000000000001</v>
      </c>
      <c r="X53" s="929">
        <f>SUM(E53+V53+W53)</f>
        <v>7.8305500000000006</v>
      </c>
      <c r="Y53" s="986">
        <f t="shared" si="4"/>
        <v>10884464.5</v>
      </c>
    </row>
    <row r="54" spans="1:25">
      <c r="A54" s="958">
        <v>37</v>
      </c>
      <c r="B54" s="924" t="s">
        <v>299</v>
      </c>
      <c r="C54" s="930" t="s">
        <v>655</v>
      </c>
      <c r="D54" s="926" t="s">
        <v>29</v>
      </c>
      <c r="E54" s="958">
        <v>4.0599999999999996</v>
      </c>
      <c r="F54" s="1025" t="s">
        <v>631</v>
      </c>
      <c r="G54" s="1025" t="s">
        <v>637</v>
      </c>
      <c r="H54" s="1026">
        <v>2017</v>
      </c>
      <c r="I54" s="938"/>
      <c r="J54" s="963"/>
      <c r="K54" s="939">
        <v>0.15</v>
      </c>
      <c r="L54" s="939">
        <v>70</v>
      </c>
      <c r="M54" s="929">
        <f>SUM(E54+J54+K54)*L54%</f>
        <v>2.9469999999999996</v>
      </c>
      <c r="N54" s="939"/>
      <c r="O54" s="929"/>
      <c r="P54" s="940"/>
      <c r="Q54" s="939"/>
      <c r="R54" s="940"/>
      <c r="S54" s="940"/>
      <c r="T54" s="954">
        <v>1</v>
      </c>
      <c r="U54" s="939">
        <v>0.5</v>
      </c>
      <c r="V54" s="928">
        <f t="shared" si="11"/>
        <v>4.5969999999999995</v>
      </c>
      <c r="W54" s="929">
        <f t="shared" si="3"/>
        <v>0.98934999999999995</v>
      </c>
      <c r="X54" s="929">
        <f>SUM(E54+V54+W54)</f>
        <v>9.64635</v>
      </c>
      <c r="Y54" s="986">
        <f t="shared" si="4"/>
        <v>13408426.5</v>
      </c>
    </row>
    <row r="55" spans="1:25">
      <c r="A55" s="958">
        <v>38</v>
      </c>
      <c r="B55" s="924" t="s">
        <v>145</v>
      </c>
      <c r="C55" s="925">
        <v>30597</v>
      </c>
      <c r="D55" s="926" t="s">
        <v>36</v>
      </c>
      <c r="E55" s="958">
        <v>2.86</v>
      </c>
      <c r="F55" s="1025" t="s">
        <v>631</v>
      </c>
      <c r="G55" s="1025" t="s">
        <v>631</v>
      </c>
      <c r="H55" s="1060">
        <v>2019</v>
      </c>
      <c r="I55" s="938"/>
      <c r="J55" s="963"/>
      <c r="K55" s="939"/>
      <c r="L55" s="939">
        <v>70</v>
      </c>
      <c r="M55" s="929">
        <f>SUM(E55+J55+K55)*L55%</f>
        <v>2.0019999999999998</v>
      </c>
      <c r="N55" s="939"/>
      <c r="O55" s="929"/>
      <c r="P55" s="940"/>
      <c r="Q55" s="939">
        <v>0.1</v>
      </c>
      <c r="R55" s="940"/>
      <c r="S55" s="940"/>
      <c r="T55" s="938">
        <v>0.5</v>
      </c>
      <c r="U55" s="939">
        <v>0.5</v>
      </c>
      <c r="V55" s="928">
        <f t="shared" si="11"/>
        <v>3.1019999999999999</v>
      </c>
      <c r="W55" s="929">
        <f t="shared" si="3"/>
        <v>0.67209999999999992</v>
      </c>
      <c r="X55" s="929">
        <f>SUM(E55+V55+W55)</f>
        <v>6.6341000000000001</v>
      </c>
      <c r="Y55" s="986">
        <f t="shared" si="4"/>
        <v>9221399</v>
      </c>
    </row>
    <row r="56" spans="1:25">
      <c r="A56" s="958">
        <v>39</v>
      </c>
      <c r="B56" s="924" t="s">
        <v>111</v>
      </c>
      <c r="C56" s="930" t="s">
        <v>112</v>
      </c>
      <c r="D56" s="926" t="s">
        <v>38</v>
      </c>
      <c r="E56" s="958">
        <v>2.86</v>
      </c>
      <c r="F56" s="1025" t="s">
        <v>631</v>
      </c>
      <c r="G56" s="1025" t="s">
        <v>631</v>
      </c>
      <c r="H56" s="1060">
        <v>2019</v>
      </c>
      <c r="I56" s="938"/>
      <c r="J56" s="963"/>
      <c r="K56" s="939"/>
      <c r="L56" s="939">
        <v>70</v>
      </c>
      <c r="M56" s="929">
        <f>SUM(E56+J56+K56)*L56%</f>
        <v>2.0019999999999998</v>
      </c>
      <c r="N56" s="939"/>
      <c r="O56" s="929"/>
      <c r="P56" s="940"/>
      <c r="Q56" s="939"/>
      <c r="R56" s="940"/>
      <c r="S56" s="940"/>
      <c r="T56" s="938">
        <v>0.5</v>
      </c>
      <c r="U56" s="939">
        <v>0.5</v>
      </c>
      <c r="V56" s="928">
        <f t="shared" si="11"/>
        <v>3.0019999999999998</v>
      </c>
      <c r="W56" s="929">
        <f t="shared" si="3"/>
        <v>0.67209999999999992</v>
      </c>
      <c r="X56" s="929">
        <f>SUM(E56+V56+W56)</f>
        <v>6.5341000000000005</v>
      </c>
      <c r="Y56" s="986">
        <f t="shared" si="4"/>
        <v>9082399</v>
      </c>
    </row>
    <row r="57" spans="1:25">
      <c r="A57" s="958">
        <v>40</v>
      </c>
      <c r="B57" s="924" t="s">
        <v>113</v>
      </c>
      <c r="C57" s="925">
        <v>29744</v>
      </c>
      <c r="D57" s="926" t="s">
        <v>34</v>
      </c>
      <c r="E57" s="958">
        <v>2.86</v>
      </c>
      <c r="F57" s="1025" t="s">
        <v>631</v>
      </c>
      <c r="G57" s="1025" t="s">
        <v>631</v>
      </c>
      <c r="H57" s="1060">
        <v>2019</v>
      </c>
      <c r="I57" s="938"/>
      <c r="J57" s="963"/>
      <c r="K57" s="939"/>
      <c r="L57" s="939">
        <v>70</v>
      </c>
      <c r="M57" s="929">
        <f>SUM(E57+J57+K57)*L57%</f>
        <v>2.0019999999999998</v>
      </c>
      <c r="N57" s="939"/>
      <c r="O57" s="929"/>
      <c r="P57" s="940"/>
      <c r="Q57" s="939"/>
      <c r="R57" s="940"/>
      <c r="S57" s="940"/>
      <c r="T57" s="941">
        <v>0.7</v>
      </c>
      <c r="U57" s="939">
        <v>0.5</v>
      </c>
      <c r="V57" s="928">
        <f t="shared" si="11"/>
        <v>3.202</v>
      </c>
      <c r="W57" s="929">
        <f t="shared" si="3"/>
        <v>0.67209999999999992</v>
      </c>
      <c r="X57" s="929">
        <f>SUM(E57+V57+W57)</f>
        <v>6.7340999999999998</v>
      </c>
      <c r="Y57" s="986">
        <f t="shared" si="4"/>
        <v>9360399</v>
      </c>
    </row>
    <row r="58" spans="1:25">
      <c r="A58" s="958"/>
      <c r="B58" s="936" t="s">
        <v>26</v>
      </c>
      <c r="C58" s="936"/>
      <c r="D58" s="936"/>
      <c r="E58" s="958"/>
      <c r="F58" s="1025"/>
      <c r="G58" s="1025"/>
      <c r="H58" s="1026"/>
      <c r="I58" s="938"/>
      <c r="J58" s="963"/>
      <c r="K58" s="939"/>
      <c r="L58" s="939"/>
      <c r="M58" s="929"/>
      <c r="N58" s="939"/>
      <c r="O58" s="929"/>
      <c r="P58" s="940"/>
      <c r="Q58" s="939"/>
      <c r="R58" s="940"/>
      <c r="S58" s="940"/>
      <c r="T58" s="948"/>
      <c r="U58" s="939"/>
      <c r="V58" s="928"/>
      <c r="W58" s="929"/>
      <c r="X58" s="929"/>
      <c r="Y58" s="986"/>
    </row>
    <row r="59" spans="1:25">
      <c r="A59" s="958">
        <v>41</v>
      </c>
      <c r="B59" s="924" t="s">
        <v>27</v>
      </c>
      <c r="C59" s="930" t="s">
        <v>28</v>
      </c>
      <c r="D59" s="926" t="s">
        <v>29</v>
      </c>
      <c r="E59" s="958">
        <v>4.0599999999999996</v>
      </c>
      <c r="F59" s="1025" t="s">
        <v>631</v>
      </c>
      <c r="G59" s="1025" t="s">
        <v>637</v>
      </c>
      <c r="H59" s="1026">
        <v>2018</v>
      </c>
      <c r="I59" s="948">
        <v>10</v>
      </c>
      <c r="J59" s="963">
        <f>SUM(E59)*I59/100</f>
        <v>0.40599999999999992</v>
      </c>
      <c r="K59" s="950">
        <v>0.2</v>
      </c>
      <c r="L59" s="939">
        <v>40</v>
      </c>
      <c r="M59" s="929">
        <f t="shared" ref="M59:M63" si="12">SUM(E59+J59+K59)*L59%</f>
        <v>1.8663999999999998</v>
      </c>
      <c r="N59" s="939"/>
      <c r="O59" s="929"/>
      <c r="P59" s="940"/>
      <c r="Q59" s="939"/>
      <c r="R59" s="940"/>
      <c r="S59" s="940"/>
      <c r="T59" s="954">
        <v>1</v>
      </c>
      <c r="U59" s="939">
        <v>0.4</v>
      </c>
      <c r="V59" s="928">
        <f t="shared" si="11"/>
        <v>3.8723999999999994</v>
      </c>
      <c r="W59" s="929">
        <f t="shared" si="3"/>
        <v>1.0965099999999999</v>
      </c>
      <c r="X59" s="929">
        <f t="shared" ref="X59:X63" si="13">SUM(E59+V59+W59)</f>
        <v>9.0289099999999998</v>
      </c>
      <c r="Y59" s="986">
        <f t="shared" si="4"/>
        <v>12550184.9</v>
      </c>
    </row>
    <row r="60" spans="1:25">
      <c r="A60" s="958">
        <v>42</v>
      </c>
      <c r="B60" s="970" t="s">
        <v>30</v>
      </c>
      <c r="C60" s="925">
        <v>25819</v>
      </c>
      <c r="D60" s="955" t="s">
        <v>31</v>
      </c>
      <c r="E60" s="951">
        <v>2.67</v>
      </c>
      <c r="F60" s="1025" t="s">
        <v>631</v>
      </c>
      <c r="G60" s="1025" t="s">
        <v>631</v>
      </c>
      <c r="H60" s="1026">
        <v>2017</v>
      </c>
      <c r="I60" s="948"/>
      <c r="J60" s="963"/>
      <c r="K60" s="939">
        <v>0.15</v>
      </c>
      <c r="L60" s="939">
        <v>40</v>
      </c>
      <c r="M60" s="929">
        <f t="shared" si="12"/>
        <v>1.1279999999999999</v>
      </c>
      <c r="N60" s="939"/>
      <c r="O60" s="929"/>
      <c r="P60" s="940"/>
      <c r="Q60" s="939"/>
      <c r="R60" s="940"/>
      <c r="S60" s="940"/>
      <c r="T60" s="948"/>
      <c r="U60" s="939">
        <v>0.4</v>
      </c>
      <c r="V60" s="928">
        <f t="shared" si="11"/>
        <v>1.6779999999999999</v>
      </c>
      <c r="W60" s="929">
        <f t="shared" si="3"/>
        <v>0.66269999999999996</v>
      </c>
      <c r="X60" s="929">
        <f t="shared" si="13"/>
        <v>5.0106999999999999</v>
      </c>
      <c r="Y60" s="986">
        <f t="shared" si="4"/>
        <v>6964873</v>
      </c>
    </row>
    <row r="61" spans="1:25">
      <c r="A61" s="958">
        <v>43</v>
      </c>
      <c r="B61" s="924" t="s">
        <v>32</v>
      </c>
      <c r="C61" s="930" t="s">
        <v>33</v>
      </c>
      <c r="D61" s="926" t="s">
        <v>34</v>
      </c>
      <c r="E61" s="963">
        <v>2.86</v>
      </c>
      <c r="F61" s="1061">
        <v>1</v>
      </c>
      <c r="G61" s="1061">
        <v>3</v>
      </c>
      <c r="H61" s="1060">
        <v>2019</v>
      </c>
      <c r="I61" s="927"/>
      <c r="J61" s="963"/>
      <c r="K61" s="963"/>
      <c r="L61" s="963">
        <v>40</v>
      </c>
      <c r="M61" s="929">
        <f t="shared" si="12"/>
        <v>1.1439999999999999</v>
      </c>
      <c r="N61" s="963"/>
      <c r="O61" s="929"/>
      <c r="P61" s="963"/>
      <c r="Q61" s="963"/>
      <c r="R61" s="963"/>
      <c r="S61" s="963"/>
      <c r="T61" s="927">
        <v>0.5</v>
      </c>
      <c r="U61" s="963">
        <v>0.4</v>
      </c>
      <c r="V61" s="928">
        <f t="shared" si="11"/>
        <v>2.044</v>
      </c>
      <c r="W61" s="929">
        <f t="shared" si="3"/>
        <v>0.67209999999999992</v>
      </c>
      <c r="X61" s="929">
        <f t="shared" si="13"/>
        <v>5.5761000000000003</v>
      </c>
      <c r="Y61" s="986">
        <f t="shared" si="4"/>
        <v>7750779</v>
      </c>
    </row>
    <row r="62" spans="1:25">
      <c r="A62" s="958">
        <v>44</v>
      </c>
      <c r="B62" s="924" t="s">
        <v>35</v>
      </c>
      <c r="C62" s="925">
        <v>28370</v>
      </c>
      <c r="D62" s="926" t="s">
        <v>36</v>
      </c>
      <c r="E62" s="958">
        <v>2.66</v>
      </c>
      <c r="F62" s="1025" t="s">
        <v>631</v>
      </c>
      <c r="G62" s="1025" t="s">
        <v>632</v>
      </c>
      <c r="H62" s="1060">
        <v>2019</v>
      </c>
      <c r="I62" s="938"/>
      <c r="J62" s="963"/>
      <c r="K62" s="939"/>
      <c r="L62" s="939">
        <v>40</v>
      </c>
      <c r="M62" s="929">
        <f t="shared" si="12"/>
        <v>1.0640000000000001</v>
      </c>
      <c r="N62" s="939"/>
      <c r="O62" s="929"/>
      <c r="P62" s="940"/>
      <c r="Q62" s="939">
        <v>0.1</v>
      </c>
      <c r="R62" s="940"/>
      <c r="S62" s="940"/>
      <c r="T62" s="938">
        <v>0.5</v>
      </c>
      <c r="U62" s="939">
        <v>0.4</v>
      </c>
      <c r="V62" s="928">
        <f t="shared" si="11"/>
        <v>2.0640000000000001</v>
      </c>
      <c r="W62" s="929">
        <f t="shared" si="3"/>
        <v>0.62509999999999999</v>
      </c>
      <c r="X62" s="929">
        <f t="shared" si="13"/>
        <v>5.3491</v>
      </c>
      <c r="Y62" s="986">
        <f t="shared" si="4"/>
        <v>7435249</v>
      </c>
    </row>
    <row r="63" spans="1:25">
      <c r="A63" s="958">
        <v>45</v>
      </c>
      <c r="B63" s="924" t="s">
        <v>37</v>
      </c>
      <c r="C63" s="925">
        <v>26917</v>
      </c>
      <c r="D63" s="926" t="s">
        <v>38</v>
      </c>
      <c r="E63" s="963">
        <v>3.86</v>
      </c>
      <c r="F63" s="1025" t="s">
        <v>631</v>
      </c>
      <c r="G63" s="1025" t="s">
        <v>638</v>
      </c>
      <c r="H63" s="1026">
        <v>2017</v>
      </c>
      <c r="I63" s="927"/>
      <c r="J63" s="963"/>
      <c r="K63" s="952"/>
      <c r="L63" s="963">
        <v>40</v>
      </c>
      <c r="M63" s="929">
        <f t="shared" si="12"/>
        <v>1.544</v>
      </c>
      <c r="N63" s="934">
        <v>70</v>
      </c>
      <c r="O63" s="935">
        <f>SUM(E63+J63+K63+S63)*N63%</f>
        <v>2.702</v>
      </c>
      <c r="P63" s="963"/>
      <c r="Q63" s="963"/>
      <c r="R63" s="963"/>
      <c r="S63" s="963"/>
      <c r="T63" s="927"/>
      <c r="U63" s="963">
        <v>0.4</v>
      </c>
      <c r="V63" s="928">
        <f t="shared" si="11"/>
        <v>4.6460000000000008</v>
      </c>
      <c r="W63" s="929">
        <f t="shared" si="3"/>
        <v>0.90709999999999991</v>
      </c>
      <c r="X63" s="929">
        <f t="shared" si="13"/>
        <v>9.4131</v>
      </c>
      <c r="Y63" s="986">
        <f t="shared" si="4"/>
        <v>13084209</v>
      </c>
    </row>
    <row r="64" spans="1:25" s="13" customFormat="1">
      <c r="A64" s="958">
        <v>46</v>
      </c>
      <c r="B64" s="1004" t="s">
        <v>119</v>
      </c>
      <c r="C64" s="1005">
        <v>30837</v>
      </c>
      <c r="D64" s="926" t="s">
        <v>29</v>
      </c>
      <c r="E64" s="963">
        <v>1.86</v>
      </c>
      <c r="F64" s="1025" t="s">
        <v>631</v>
      </c>
      <c r="G64" s="1025" t="s">
        <v>675</v>
      </c>
      <c r="H64" s="1026">
        <v>2019</v>
      </c>
      <c r="I64" s="927"/>
      <c r="J64" s="963"/>
      <c r="K64" s="952"/>
      <c r="L64" s="963"/>
      <c r="M64" s="929"/>
      <c r="N64" s="934"/>
      <c r="O64" s="935"/>
      <c r="P64" s="963"/>
      <c r="Q64" s="963"/>
      <c r="R64" s="963"/>
      <c r="S64" s="963"/>
      <c r="T64" s="927"/>
      <c r="U64" s="963"/>
      <c r="V64" s="928"/>
      <c r="W64" s="929"/>
      <c r="X64" s="929"/>
      <c r="Y64" s="986"/>
    </row>
    <row r="65" spans="1:25">
      <c r="A65" s="958"/>
      <c r="B65" s="1368" t="s">
        <v>672</v>
      </c>
      <c r="C65" s="1369"/>
      <c r="D65" s="936"/>
      <c r="E65" s="958"/>
      <c r="F65" s="1025"/>
      <c r="G65" s="1025"/>
      <c r="H65" s="1026"/>
      <c r="I65" s="938"/>
      <c r="J65" s="963"/>
      <c r="K65" s="939"/>
      <c r="L65" s="939"/>
      <c r="M65" s="929"/>
      <c r="N65" s="939"/>
      <c r="O65" s="929"/>
      <c r="P65" s="940"/>
      <c r="Q65" s="939"/>
      <c r="R65" s="940"/>
      <c r="S65" s="940"/>
      <c r="T65" s="938"/>
      <c r="U65" s="939"/>
      <c r="V65" s="928"/>
      <c r="W65" s="929"/>
      <c r="X65" s="929"/>
      <c r="Y65" s="986"/>
    </row>
    <row r="66" spans="1:25">
      <c r="A66" s="958">
        <v>47</v>
      </c>
      <c r="B66" s="924" t="s">
        <v>121</v>
      </c>
      <c r="C66" s="925">
        <v>26577</v>
      </c>
      <c r="D66" s="926" t="s">
        <v>60</v>
      </c>
      <c r="E66" s="958">
        <v>4.32</v>
      </c>
      <c r="F66" s="1025" t="s">
        <v>671</v>
      </c>
      <c r="G66" s="1025" t="s">
        <v>633</v>
      </c>
      <c r="H66" s="1026">
        <v>2018</v>
      </c>
      <c r="I66" s="938"/>
      <c r="J66" s="963"/>
      <c r="K66" s="950">
        <v>0.2</v>
      </c>
      <c r="L66" s="939">
        <v>70</v>
      </c>
      <c r="M66" s="929">
        <f>SUM(E66+J66+K66)*L66%</f>
        <v>3.1640000000000001</v>
      </c>
      <c r="N66" s="939"/>
      <c r="O66" s="929"/>
      <c r="P66" s="940"/>
      <c r="Q66" s="939"/>
      <c r="R66" s="940"/>
      <c r="S66" s="940"/>
      <c r="T66" s="938">
        <v>0.7</v>
      </c>
      <c r="U66" s="939">
        <v>0.4</v>
      </c>
      <c r="V66" s="928">
        <f t="shared" si="11"/>
        <v>4.4640000000000004</v>
      </c>
      <c r="W66" s="929">
        <f t="shared" si="3"/>
        <v>1.0622</v>
      </c>
      <c r="X66" s="929">
        <f>SUM(E66+V66+W66)</f>
        <v>9.8462000000000014</v>
      </c>
      <c r="Y66" s="986">
        <f t="shared" si="4"/>
        <v>13686218.000000002</v>
      </c>
    </row>
    <row r="67" spans="1:25">
      <c r="A67" s="958">
        <v>48</v>
      </c>
      <c r="B67" s="924" t="s">
        <v>122</v>
      </c>
      <c r="C67" s="925" t="s">
        <v>656</v>
      </c>
      <c r="D67" s="926" t="s">
        <v>29</v>
      </c>
      <c r="E67" s="958">
        <v>2.66</v>
      </c>
      <c r="F67" s="1062" t="s">
        <v>631</v>
      </c>
      <c r="G67" s="1062" t="s">
        <v>638</v>
      </c>
      <c r="H67" s="1063">
        <v>2018</v>
      </c>
      <c r="I67" s="938"/>
      <c r="J67" s="963"/>
      <c r="K67" s="939">
        <v>0.15</v>
      </c>
      <c r="L67" s="939">
        <v>70</v>
      </c>
      <c r="M67" s="929">
        <f>SUM(E67+J67+K67)*L67%</f>
        <v>1.9669999999999999</v>
      </c>
      <c r="N67" s="939"/>
      <c r="O67" s="929"/>
      <c r="P67" s="940"/>
      <c r="Q67" s="939"/>
      <c r="R67" s="940"/>
      <c r="S67" s="940"/>
      <c r="T67" s="938">
        <v>0.5</v>
      </c>
      <c r="U67" s="939">
        <v>0.4</v>
      </c>
      <c r="V67" s="928">
        <f t="shared" si="11"/>
        <v>3.0169999999999999</v>
      </c>
      <c r="W67" s="929">
        <f t="shared" si="3"/>
        <v>0.66034999999999999</v>
      </c>
      <c r="X67" s="929">
        <f>SUM(E67+V67+W67)</f>
        <v>6.3373499999999998</v>
      </c>
      <c r="Y67" s="986">
        <f t="shared" si="4"/>
        <v>8808916.5</v>
      </c>
    </row>
    <row r="68" spans="1:25">
      <c r="A68" s="958">
        <v>49</v>
      </c>
      <c r="B68" s="924" t="s">
        <v>657</v>
      </c>
      <c r="C68" s="930" t="s">
        <v>658</v>
      </c>
      <c r="D68" s="926" t="s">
        <v>29</v>
      </c>
      <c r="E68" s="958">
        <v>4.0599999999999996</v>
      </c>
      <c r="F68" s="1025" t="s">
        <v>631</v>
      </c>
      <c r="G68" s="1025" t="s">
        <v>637</v>
      </c>
      <c r="H68" s="1026">
        <v>2018</v>
      </c>
      <c r="I68" s="938">
        <v>11</v>
      </c>
      <c r="J68" s="963">
        <f>SUM(E68)*I68/100</f>
        <v>0.44659999999999994</v>
      </c>
      <c r="K68" s="939"/>
      <c r="L68" s="939">
        <v>70</v>
      </c>
      <c r="M68" s="929">
        <f>SUM(E68+J68+K68)*L68%</f>
        <v>3.1546199999999995</v>
      </c>
      <c r="N68" s="939"/>
      <c r="O68" s="929"/>
      <c r="P68" s="940"/>
      <c r="Q68" s="939"/>
      <c r="R68" s="940"/>
      <c r="S68" s="940"/>
      <c r="T68" s="954">
        <v>1</v>
      </c>
      <c r="U68" s="939">
        <v>0.4</v>
      </c>
      <c r="V68" s="928">
        <f t="shared" si="11"/>
        <v>5.00122</v>
      </c>
      <c r="W68" s="929">
        <f t="shared" si="3"/>
        <v>1.059051</v>
      </c>
      <c r="X68" s="929">
        <f>SUM(E68+V68+W68)</f>
        <v>10.120270999999999</v>
      </c>
      <c r="Y68" s="986">
        <f t="shared" si="4"/>
        <v>14067176.689999998</v>
      </c>
    </row>
    <row r="69" spans="1:25">
      <c r="A69" s="958">
        <v>50</v>
      </c>
      <c r="B69" s="924" t="s">
        <v>105</v>
      </c>
      <c r="C69" s="925">
        <v>27770</v>
      </c>
      <c r="D69" s="926" t="s">
        <v>36</v>
      </c>
      <c r="E69" s="951">
        <v>3.06</v>
      </c>
      <c r="F69" s="1025" t="s">
        <v>631</v>
      </c>
      <c r="G69" s="1025" t="s">
        <v>642</v>
      </c>
      <c r="H69" s="1026">
        <v>2018</v>
      </c>
      <c r="I69" s="938"/>
      <c r="J69" s="963"/>
      <c r="K69" s="939"/>
      <c r="L69" s="939">
        <v>70</v>
      </c>
      <c r="M69" s="929">
        <f>SUM(E69+J69+K69)*L69%</f>
        <v>2.1419999999999999</v>
      </c>
      <c r="N69" s="939">
        <v>70</v>
      </c>
      <c r="O69" s="929">
        <f>SUM(E69+J69+K69)*N69/100</f>
        <v>2.1420000000000003</v>
      </c>
      <c r="P69" s="940"/>
      <c r="Q69" s="939">
        <v>0.1</v>
      </c>
      <c r="R69" s="940"/>
      <c r="S69" s="940"/>
      <c r="T69" s="938">
        <v>0.5</v>
      </c>
      <c r="U69" s="939">
        <v>0.4</v>
      </c>
      <c r="V69" s="928">
        <f t="shared" si="11"/>
        <v>5.2840000000000007</v>
      </c>
      <c r="W69" s="929">
        <f t="shared" si="3"/>
        <v>0.71909999999999996</v>
      </c>
      <c r="X69" s="929">
        <f>SUM(E69+V69+W69)</f>
        <v>9.0631000000000004</v>
      </c>
      <c r="Y69" s="986">
        <f t="shared" si="4"/>
        <v>12597709</v>
      </c>
    </row>
    <row r="70" spans="1:25">
      <c r="A70" s="958">
        <v>51</v>
      </c>
      <c r="B70" s="924" t="s">
        <v>123</v>
      </c>
      <c r="C70" s="930" t="s">
        <v>659</v>
      </c>
      <c r="D70" s="926" t="s">
        <v>38</v>
      </c>
      <c r="E70" s="939">
        <v>4.0599999999999996</v>
      </c>
      <c r="F70" s="1025" t="s">
        <v>631</v>
      </c>
      <c r="G70" s="1025" t="s">
        <v>637</v>
      </c>
      <c r="H70" s="1026">
        <v>2017</v>
      </c>
      <c r="I70" s="938"/>
      <c r="J70" s="963"/>
      <c r="K70" s="939"/>
      <c r="L70" s="939">
        <v>70</v>
      </c>
      <c r="M70" s="929">
        <f>SUM(E70+J70+K70)*L70%</f>
        <v>2.8419999999999996</v>
      </c>
      <c r="N70" s="939"/>
      <c r="O70" s="929"/>
      <c r="P70" s="940"/>
      <c r="Q70" s="939"/>
      <c r="R70" s="940"/>
      <c r="S70" s="940"/>
      <c r="T70" s="941">
        <v>0.7</v>
      </c>
      <c r="U70" s="939">
        <v>0.4</v>
      </c>
      <c r="V70" s="928">
        <f t="shared" si="11"/>
        <v>3.9419999999999997</v>
      </c>
      <c r="W70" s="929">
        <f t="shared" si="3"/>
        <v>0.95409999999999984</v>
      </c>
      <c r="X70" s="929">
        <f>SUM(E70+V70+W70)</f>
        <v>8.9560999999999993</v>
      </c>
      <c r="Y70" s="986">
        <f t="shared" si="4"/>
        <v>12448978.999999998</v>
      </c>
    </row>
    <row r="71" spans="1:25">
      <c r="A71" s="958"/>
      <c r="B71" s="1368" t="s">
        <v>124</v>
      </c>
      <c r="C71" s="1369"/>
      <c r="D71" s="936"/>
      <c r="E71" s="958"/>
      <c r="F71" s="1025"/>
      <c r="G71" s="1025"/>
      <c r="H71" s="1026"/>
      <c r="I71" s="938"/>
      <c r="J71" s="963"/>
      <c r="K71" s="939"/>
      <c r="L71" s="939"/>
      <c r="M71" s="929"/>
      <c r="N71" s="939"/>
      <c r="O71" s="929"/>
      <c r="P71" s="940"/>
      <c r="Q71" s="939"/>
      <c r="R71" s="940"/>
      <c r="S71" s="940"/>
      <c r="T71" s="938"/>
      <c r="U71" s="939"/>
      <c r="V71" s="928"/>
      <c r="W71" s="929"/>
      <c r="X71" s="929"/>
      <c r="Y71" s="986"/>
    </row>
    <row r="72" spans="1:25">
      <c r="A72" s="958">
        <v>52</v>
      </c>
      <c r="B72" s="924" t="s">
        <v>59</v>
      </c>
      <c r="C72" s="925">
        <v>29465</v>
      </c>
      <c r="D72" s="926" t="s">
        <v>60</v>
      </c>
      <c r="E72" s="937">
        <v>3.33</v>
      </c>
      <c r="F72" s="1025" t="s">
        <v>641</v>
      </c>
      <c r="G72" s="1025" t="s">
        <v>642</v>
      </c>
      <c r="H72" s="1026">
        <v>2018</v>
      </c>
      <c r="I72" s="927"/>
      <c r="J72" s="963"/>
      <c r="K72" s="937">
        <v>0.2</v>
      </c>
      <c r="L72" s="963">
        <v>70</v>
      </c>
      <c r="M72" s="929">
        <f t="shared" ref="M72:M77" si="14">SUM(E72+J72+K72)*L72%</f>
        <v>2.4710000000000001</v>
      </c>
      <c r="N72" s="963">
        <v>70</v>
      </c>
      <c r="O72" s="929">
        <f>SUM(E72+J72+K72)*N72/100</f>
        <v>2.4710000000000001</v>
      </c>
      <c r="P72" s="963"/>
      <c r="Q72" s="963"/>
      <c r="R72" s="963"/>
      <c r="S72" s="963"/>
      <c r="T72" s="927"/>
      <c r="U72" s="963">
        <v>0.5</v>
      </c>
      <c r="V72" s="928">
        <f t="shared" si="11"/>
        <v>5.6420000000000003</v>
      </c>
      <c r="W72" s="929">
        <f t="shared" si="3"/>
        <v>0.82955000000000001</v>
      </c>
      <c r="X72" s="929">
        <f t="shared" ref="X72:X77" si="15">SUM(E72+V72+W72)</f>
        <v>9.8015500000000007</v>
      </c>
      <c r="Y72" s="986">
        <f t="shared" si="4"/>
        <v>13624154.5</v>
      </c>
    </row>
    <row r="73" spans="1:25">
      <c r="A73" s="958">
        <v>53</v>
      </c>
      <c r="B73" s="924" t="s">
        <v>125</v>
      </c>
      <c r="C73" s="925">
        <v>28218</v>
      </c>
      <c r="D73" s="926" t="s">
        <v>29</v>
      </c>
      <c r="E73" s="984">
        <v>2.46</v>
      </c>
      <c r="F73" s="1025" t="s">
        <v>631</v>
      </c>
      <c r="G73" s="1025" t="s">
        <v>640</v>
      </c>
      <c r="H73" s="1026">
        <v>2017</v>
      </c>
      <c r="I73" s="927"/>
      <c r="J73" s="963"/>
      <c r="K73" s="928">
        <v>0.15</v>
      </c>
      <c r="L73" s="963">
        <v>70</v>
      </c>
      <c r="M73" s="929">
        <f t="shared" si="14"/>
        <v>1.8269999999999997</v>
      </c>
      <c r="N73" s="963">
        <v>70</v>
      </c>
      <c r="O73" s="929">
        <f>SUM(E73+J73+K73)*N73/100</f>
        <v>1.827</v>
      </c>
      <c r="P73" s="963"/>
      <c r="Q73" s="963"/>
      <c r="R73" s="963"/>
      <c r="S73" s="963"/>
      <c r="T73" s="933"/>
      <c r="U73" s="963">
        <v>0.5</v>
      </c>
      <c r="V73" s="928">
        <f t="shared" si="11"/>
        <v>4.3039999999999994</v>
      </c>
      <c r="W73" s="929">
        <f t="shared" si="3"/>
        <v>0.61334999999999995</v>
      </c>
      <c r="X73" s="929">
        <f t="shared" si="15"/>
        <v>7.377349999999999</v>
      </c>
      <c r="Y73" s="986">
        <f t="shared" si="4"/>
        <v>10254516.499999998</v>
      </c>
    </row>
    <row r="74" spans="1:25">
      <c r="A74" s="958">
        <v>54</v>
      </c>
      <c r="B74" s="924" t="s">
        <v>126</v>
      </c>
      <c r="C74" s="930" t="s">
        <v>660</v>
      </c>
      <c r="D74" s="926" t="s">
        <v>29</v>
      </c>
      <c r="E74" s="951">
        <v>4.0599999999999996</v>
      </c>
      <c r="F74" s="1025" t="s">
        <v>631</v>
      </c>
      <c r="G74" s="1025" t="s">
        <v>641</v>
      </c>
      <c r="H74" s="1060">
        <v>2019</v>
      </c>
      <c r="I74" s="941">
        <v>10</v>
      </c>
      <c r="J74" s="934">
        <f>SUM(E74)*I74/100</f>
        <v>0.40599999999999992</v>
      </c>
      <c r="K74" s="939"/>
      <c r="L74" s="951">
        <v>70</v>
      </c>
      <c r="M74" s="929">
        <f t="shared" si="14"/>
        <v>3.1261999999999994</v>
      </c>
      <c r="N74" s="939"/>
      <c r="O74" s="929"/>
      <c r="P74" s="940"/>
      <c r="Q74" s="939"/>
      <c r="R74" s="940"/>
      <c r="S74" s="940"/>
      <c r="T74" s="954">
        <v>1</v>
      </c>
      <c r="U74" s="939">
        <v>0.5</v>
      </c>
      <c r="V74" s="928">
        <f t="shared" si="11"/>
        <v>5.0321999999999996</v>
      </c>
      <c r="W74" s="929">
        <f t="shared" si="3"/>
        <v>1.0495099999999997</v>
      </c>
      <c r="X74" s="929">
        <f t="shared" si="15"/>
        <v>10.141709999999998</v>
      </c>
      <c r="Y74" s="986">
        <f t="shared" si="4"/>
        <v>14096976.899999997</v>
      </c>
    </row>
    <row r="75" spans="1:25" s="171" customFormat="1">
      <c r="A75" s="958">
        <v>55</v>
      </c>
      <c r="B75" s="970" t="s">
        <v>81</v>
      </c>
      <c r="C75" s="971">
        <v>27921</v>
      </c>
      <c r="D75" s="955" t="s">
        <v>36</v>
      </c>
      <c r="E75" s="934">
        <v>4.0599999999999996</v>
      </c>
      <c r="F75" s="1034" t="s">
        <v>631</v>
      </c>
      <c r="G75" s="1034" t="s">
        <v>631</v>
      </c>
      <c r="H75" s="1026">
        <v>2017</v>
      </c>
      <c r="I75" s="933"/>
      <c r="J75" s="934"/>
      <c r="K75" s="934"/>
      <c r="L75" s="934">
        <v>70</v>
      </c>
      <c r="M75" s="935">
        <f t="shared" si="14"/>
        <v>2.8419999999999996</v>
      </c>
      <c r="N75" s="934"/>
      <c r="O75" s="935"/>
      <c r="P75" s="934"/>
      <c r="Q75" s="934">
        <v>0.1</v>
      </c>
      <c r="R75" s="934"/>
      <c r="S75" s="934"/>
      <c r="T75" s="933">
        <v>0.7</v>
      </c>
      <c r="U75" s="934">
        <v>0.5</v>
      </c>
      <c r="V75" s="937">
        <f>SUM(J75+K75+M75+O75+P75+Q75+R75+S75+T75+U75)</f>
        <v>4.1419999999999995</v>
      </c>
      <c r="W75" s="935">
        <f t="shared" si="3"/>
        <v>0.95409999999999984</v>
      </c>
      <c r="X75" s="935">
        <f t="shared" si="15"/>
        <v>9.1560999999999986</v>
      </c>
      <c r="Y75" s="987">
        <f t="shared" si="4"/>
        <v>12726978.999999998</v>
      </c>
    </row>
    <row r="76" spans="1:25" s="171" customFormat="1">
      <c r="A76" s="958">
        <v>56</v>
      </c>
      <c r="B76" s="970" t="s">
        <v>127</v>
      </c>
      <c r="C76" s="971">
        <v>30646</v>
      </c>
      <c r="D76" s="955" t="s">
        <v>34</v>
      </c>
      <c r="E76" s="951">
        <v>2.2599999999999998</v>
      </c>
      <c r="F76" s="1034" t="s">
        <v>631</v>
      </c>
      <c r="G76" s="1034" t="s">
        <v>640</v>
      </c>
      <c r="H76" s="1026">
        <v>2018</v>
      </c>
      <c r="I76" s="941"/>
      <c r="J76" s="934"/>
      <c r="K76" s="951"/>
      <c r="L76" s="951">
        <v>70</v>
      </c>
      <c r="M76" s="935">
        <f t="shared" si="14"/>
        <v>1.5819999999999999</v>
      </c>
      <c r="N76" s="951">
        <v>70</v>
      </c>
      <c r="O76" s="935">
        <f>SUM(E76+J76+K76)*N76/100</f>
        <v>1.5819999999999999</v>
      </c>
      <c r="P76" s="959"/>
      <c r="Q76" s="951"/>
      <c r="R76" s="959"/>
      <c r="S76" s="959"/>
      <c r="T76" s="941"/>
      <c r="U76" s="951">
        <v>0.5</v>
      </c>
      <c r="V76" s="937">
        <f t="shared" ref="V76:V89" si="16">SUM(J76+K76+M76+O76+P76+Q76+R76+S76+T76+U76)</f>
        <v>3.6639999999999997</v>
      </c>
      <c r="W76" s="935">
        <f t="shared" si="3"/>
        <v>0.53109999999999991</v>
      </c>
      <c r="X76" s="935">
        <f t="shared" si="15"/>
        <v>6.4550999999999998</v>
      </c>
      <c r="Y76" s="987">
        <f t="shared" si="4"/>
        <v>8972589</v>
      </c>
    </row>
    <row r="77" spans="1:25">
      <c r="A77" s="958">
        <v>57</v>
      </c>
      <c r="B77" s="924" t="s">
        <v>128</v>
      </c>
      <c r="C77" s="930" t="s">
        <v>661</v>
      </c>
      <c r="D77" s="926" t="s">
        <v>38</v>
      </c>
      <c r="E77" s="958">
        <v>2.86</v>
      </c>
      <c r="F77" s="1056" t="s">
        <v>631</v>
      </c>
      <c r="G77" s="1056" t="s">
        <v>640</v>
      </c>
      <c r="H77" s="1064">
        <v>2018</v>
      </c>
      <c r="I77" s="938"/>
      <c r="J77" s="963"/>
      <c r="K77" s="939"/>
      <c r="L77" s="939">
        <v>70</v>
      </c>
      <c r="M77" s="929">
        <f t="shared" si="14"/>
        <v>2.0019999999999998</v>
      </c>
      <c r="N77" s="939"/>
      <c r="O77" s="929"/>
      <c r="P77" s="940"/>
      <c r="Q77" s="939"/>
      <c r="R77" s="940"/>
      <c r="S77" s="940"/>
      <c r="T77" s="941">
        <v>0.5</v>
      </c>
      <c r="U77" s="939">
        <v>0.5</v>
      </c>
      <c r="V77" s="928">
        <f t="shared" si="16"/>
        <v>3.0019999999999998</v>
      </c>
      <c r="W77" s="929">
        <f t="shared" si="3"/>
        <v>0.67209999999999992</v>
      </c>
      <c r="X77" s="929">
        <f t="shared" si="15"/>
        <v>6.5341000000000005</v>
      </c>
      <c r="Y77" s="986">
        <f t="shared" si="4"/>
        <v>9082399</v>
      </c>
    </row>
    <row r="78" spans="1:25">
      <c r="A78" s="958"/>
      <c r="B78" s="1370" t="s">
        <v>131</v>
      </c>
      <c r="C78" s="1371"/>
      <c r="D78" s="1001"/>
      <c r="E78" s="966"/>
      <c r="F78" s="1025"/>
      <c r="G78" s="1025"/>
      <c r="H78" s="1026"/>
      <c r="I78" s="956"/>
      <c r="J78" s="956"/>
      <c r="K78" s="956"/>
      <c r="L78" s="956"/>
      <c r="M78" s="929"/>
      <c r="N78" s="956"/>
      <c r="O78" s="929"/>
      <c r="P78" s="956"/>
      <c r="Q78" s="956"/>
      <c r="R78" s="956"/>
      <c r="S78" s="956"/>
      <c r="T78" s="956"/>
      <c r="U78" s="956"/>
      <c r="V78" s="928"/>
      <c r="W78" s="929"/>
      <c r="X78" s="929"/>
      <c r="Y78" s="986"/>
    </row>
    <row r="79" spans="1:25">
      <c r="A79" s="958">
        <v>58</v>
      </c>
      <c r="B79" s="924" t="s">
        <v>132</v>
      </c>
      <c r="C79" s="930" t="s">
        <v>133</v>
      </c>
      <c r="D79" s="926" t="s">
        <v>60</v>
      </c>
      <c r="E79" s="958">
        <v>4.32</v>
      </c>
      <c r="F79" s="1025" t="s">
        <v>631</v>
      </c>
      <c r="G79" s="1025" t="s">
        <v>637</v>
      </c>
      <c r="H79" s="1026">
        <v>2016</v>
      </c>
      <c r="I79" s="938"/>
      <c r="J79" s="963"/>
      <c r="K79" s="950">
        <v>0.2</v>
      </c>
      <c r="L79" s="939">
        <v>70</v>
      </c>
      <c r="M79" s="929">
        <f>SUM(E79+J79+K79)*L79%</f>
        <v>3.1640000000000001</v>
      </c>
      <c r="N79" s="939"/>
      <c r="O79" s="929"/>
      <c r="P79" s="940"/>
      <c r="Q79" s="939"/>
      <c r="R79" s="940"/>
      <c r="S79" s="940"/>
      <c r="T79" s="949">
        <v>0.7</v>
      </c>
      <c r="U79" s="939">
        <v>0.5</v>
      </c>
      <c r="V79" s="928">
        <f t="shared" si="16"/>
        <v>4.5640000000000001</v>
      </c>
      <c r="W79" s="929">
        <f t="shared" ref="W79:W83" si="17">SUM(E79+J79+K79)*23.5%</f>
        <v>1.0622</v>
      </c>
      <c r="X79" s="929">
        <f>SUM(E79+V79+W79)</f>
        <v>9.946200000000001</v>
      </c>
      <c r="Y79" s="986">
        <f t="shared" ref="Y79:Y89" si="18">SUM(X79)*1390000</f>
        <v>13825218.000000002</v>
      </c>
    </row>
    <row r="80" spans="1:25">
      <c r="A80" s="958">
        <v>59</v>
      </c>
      <c r="B80" s="924" t="s">
        <v>134</v>
      </c>
      <c r="C80" s="925">
        <v>31358</v>
      </c>
      <c r="D80" s="926" t="s">
        <v>29</v>
      </c>
      <c r="E80" s="958">
        <v>2.86</v>
      </c>
      <c r="F80" s="1025" t="s">
        <v>631</v>
      </c>
      <c r="G80" s="1025" t="s">
        <v>631</v>
      </c>
      <c r="H80" s="1060">
        <v>2019</v>
      </c>
      <c r="I80" s="938"/>
      <c r="J80" s="963"/>
      <c r="K80" s="939">
        <v>0.15</v>
      </c>
      <c r="L80" s="939">
        <v>70</v>
      </c>
      <c r="M80" s="929">
        <f>SUM(E80+J80+K80)*L80%</f>
        <v>2.1069999999999998</v>
      </c>
      <c r="N80" s="939"/>
      <c r="O80" s="929"/>
      <c r="P80" s="940"/>
      <c r="Q80" s="939"/>
      <c r="R80" s="940"/>
      <c r="S80" s="940"/>
      <c r="T80" s="938">
        <v>0.5</v>
      </c>
      <c r="U80" s="939">
        <v>0.5</v>
      </c>
      <c r="V80" s="928">
        <f t="shared" si="16"/>
        <v>3.2569999999999997</v>
      </c>
      <c r="W80" s="929">
        <f t="shared" si="17"/>
        <v>0.70734999999999992</v>
      </c>
      <c r="X80" s="929">
        <f>SUM(E80+V80+W80)</f>
        <v>6.824349999999999</v>
      </c>
      <c r="Y80" s="986">
        <f t="shared" si="18"/>
        <v>9485846.4999999981</v>
      </c>
    </row>
    <row r="81" spans="1:25">
      <c r="A81" s="958">
        <v>60</v>
      </c>
      <c r="B81" s="924" t="s">
        <v>135</v>
      </c>
      <c r="C81" s="925" t="s">
        <v>662</v>
      </c>
      <c r="D81" s="926" t="s">
        <v>38</v>
      </c>
      <c r="E81" s="958">
        <v>3.86</v>
      </c>
      <c r="F81" s="1025" t="s">
        <v>631</v>
      </c>
      <c r="G81" s="1025" t="s">
        <v>637</v>
      </c>
      <c r="H81" s="1026">
        <v>2017</v>
      </c>
      <c r="I81" s="938"/>
      <c r="J81" s="963"/>
      <c r="K81" s="939"/>
      <c r="L81" s="939">
        <v>70</v>
      </c>
      <c r="M81" s="929">
        <f>SUM(E81+J81+K81)*L81%</f>
        <v>2.702</v>
      </c>
      <c r="N81" s="939"/>
      <c r="O81" s="929"/>
      <c r="P81" s="940"/>
      <c r="Q81" s="939"/>
      <c r="R81" s="940"/>
      <c r="S81" s="940"/>
      <c r="T81" s="954">
        <v>1</v>
      </c>
      <c r="U81" s="939">
        <v>0.5</v>
      </c>
      <c r="V81" s="928">
        <f t="shared" si="16"/>
        <v>4.202</v>
      </c>
      <c r="W81" s="929">
        <f t="shared" si="17"/>
        <v>0.90709999999999991</v>
      </c>
      <c r="X81" s="929">
        <f>SUM(E81+V81+W81)</f>
        <v>8.9690999999999992</v>
      </c>
      <c r="Y81" s="986">
        <f t="shared" si="18"/>
        <v>12467048.999999998</v>
      </c>
    </row>
    <row r="82" spans="1:25">
      <c r="A82" s="958">
        <v>61</v>
      </c>
      <c r="B82" s="924" t="s">
        <v>136</v>
      </c>
      <c r="C82" s="930" t="s">
        <v>137</v>
      </c>
      <c r="D82" s="926" t="s">
        <v>36</v>
      </c>
      <c r="E82" s="958">
        <v>3.86</v>
      </c>
      <c r="F82" s="1025" t="s">
        <v>631</v>
      </c>
      <c r="G82" s="1025" t="s">
        <v>631</v>
      </c>
      <c r="H82" s="1026">
        <v>2017</v>
      </c>
      <c r="I82" s="938"/>
      <c r="J82" s="963"/>
      <c r="K82" s="939"/>
      <c r="L82" s="939">
        <v>70</v>
      </c>
      <c r="M82" s="929">
        <f>SUM(E82+J82+K82)*L82%</f>
        <v>2.702</v>
      </c>
      <c r="N82" s="939"/>
      <c r="O82" s="929"/>
      <c r="P82" s="940"/>
      <c r="Q82" s="939">
        <v>0.1</v>
      </c>
      <c r="R82" s="940"/>
      <c r="S82" s="940"/>
      <c r="T82" s="938">
        <v>0.5</v>
      </c>
      <c r="U82" s="939">
        <v>0.5</v>
      </c>
      <c r="V82" s="928">
        <f t="shared" si="16"/>
        <v>3.802</v>
      </c>
      <c r="W82" s="929">
        <f t="shared" si="17"/>
        <v>0.90709999999999991</v>
      </c>
      <c r="X82" s="929">
        <f>SUM(E82+V82+W82)</f>
        <v>8.5691000000000006</v>
      </c>
      <c r="Y82" s="986">
        <f t="shared" si="18"/>
        <v>11911049</v>
      </c>
    </row>
    <row r="83" spans="1:25" s="171" customFormat="1">
      <c r="A83" s="958">
        <v>62</v>
      </c>
      <c r="B83" s="970" t="s">
        <v>138</v>
      </c>
      <c r="C83" s="971">
        <v>28216</v>
      </c>
      <c r="D83" s="955" t="s">
        <v>38</v>
      </c>
      <c r="E83" s="951">
        <v>3.86</v>
      </c>
      <c r="F83" s="1034" t="s">
        <v>631</v>
      </c>
      <c r="G83" s="1034" t="s">
        <v>631</v>
      </c>
      <c r="H83" s="1060">
        <v>2019</v>
      </c>
      <c r="I83" s="941"/>
      <c r="J83" s="934"/>
      <c r="K83" s="951"/>
      <c r="L83" s="951">
        <v>70</v>
      </c>
      <c r="M83" s="935">
        <f>SUM(E83+J83+K83)*L83%</f>
        <v>2.702</v>
      </c>
      <c r="N83" s="951"/>
      <c r="O83" s="935"/>
      <c r="P83" s="959"/>
      <c r="Q83" s="951"/>
      <c r="R83" s="959"/>
      <c r="S83" s="959"/>
      <c r="T83" s="941">
        <v>0.5</v>
      </c>
      <c r="U83" s="951">
        <v>0.5</v>
      </c>
      <c r="V83" s="937">
        <f t="shared" si="16"/>
        <v>3.702</v>
      </c>
      <c r="W83" s="935">
        <f t="shared" si="17"/>
        <v>0.90709999999999991</v>
      </c>
      <c r="X83" s="935">
        <f>SUM(E83+V83+W83)</f>
        <v>8.4690999999999992</v>
      </c>
      <c r="Y83" s="987">
        <f t="shared" si="18"/>
        <v>11772048.999999998</v>
      </c>
    </row>
    <row r="84" spans="1:25">
      <c r="A84" s="958"/>
      <c r="B84" s="989" t="s">
        <v>673</v>
      </c>
      <c r="C84" s="936"/>
      <c r="D84" s="957"/>
      <c r="E84" s="958"/>
      <c r="F84" s="1025"/>
      <c r="G84" s="1025"/>
      <c r="H84" s="1026"/>
      <c r="I84" s="938"/>
      <c r="J84" s="963"/>
      <c r="K84" s="939"/>
      <c r="L84" s="939"/>
      <c r="M84" s="929"/>
      <c r="N84" s="939"/>
      <c r="O84" s="929"/>
      <c r="P84" s="940"/>
      <c r="Q84" s="939"/>
      <c r="R84" s="940"/>
      <c r="S84" s="940"/>
      <c r="T84" s="938"/>
      <c r="U84" s="939"/>
      <c r="V84" s="928"/>
      <c r="W84" s="929"/>
      <c r="X84" s="929"/>
      <c r="Y84" s="986"/>
    </row>
    <row r="85" spans="1:25">
      <c r="A85" s="958">
        <v>63</v>
      </c>
      <c r="B85" s="924" t="s">
        <v>140</v>
      </c>
      <c r="C85" s="925">
        <v>30357</v>
      </c>
      <c r="D85" s="926" t="s">
        <v>29</v>
      </c>
      <c r="E85" s="958">
        <v>2.86</v>
      </c>
      <c r="F85" s="1025" t="s">
        <v>631</v>
      </c>
      <c r="G85" s="1025" t="s">
        <v>631</v>
      </c>
      <c r="H85" s="1060">
        <v>2019</v>
      </c>
      <c r="I85" s="938"/>
      <c r="J85" s="963"/>
      <c r="K85" s="950">
        <v>0.2</v>
      </c>
      <c r="L85" s="939">
        <v>70</v>
      </c>
      <c r="M85" s="929">
        <f>SUM(E85+J85+K85)*L85%</f>
        <v>2.1419999999999999</v>
      </c>
      <c r="N85" s="939"/>
      <c r="O85" s="929"/>
      <c r="P85" s="940"/>
      <c r="Q85" s="939"/>
      <c r="R85" s="940"/>
      <c r="S85" s="940"/>
      <c r="T85" s="938">
        <v>0.5</v>
      </c>
      <c r="U85" s="939">
        <v>0.5</v>
      </c>
      <c r="V85" s="928">
        <f t="shared" si="16"/>
        <v>3.3420000000000001</v>
      </c>
      <c r="W85" s="929">
        <f>SUM(E85+J85+K85)*23.5%</f>
        <v>0.71909999999999996</v>
      </c>
      <c r="X85" s="929">
        <f>SUM(E85+V85+W85)</f>
        <v>6.9211</v>
      </c>
      <c r="Y85" s="986">
        <f t="shared" si="18"/>
        <v>9620329</v>
      </c>
    </row>
    <row r="86" spans="1:25">
      <c r="A86" s="958">
        <v>64</v>
      </c>
      <c r="B86" s="924" t="s">
        <v>141</v>
      </c>
      <c r="C86" s="925">
        <v>32545</v>
      </c>
      <c r="D86" s="926" t="s">
        <v>29</v>
      </c>
      <c r="E86" s="958">
        <v>2.06</v>
      </c>
      <c r="F86" s="1025" t="s">
        <v>631</v>
      </c>
      <c r="G86" s="1025" t="s">
        <v>637</v>
      </c>
      <c r="H86" s="1026">
        <v>2017</v>
      </c>
      <c r="I86" s="948"/>
      <c r="J86" s="963"/>
      <c r="K86" s="958">
        <v>0.15</v>
      </c>
      <c r="L86" s="939">
        <v>70</v>
      </c>
      <c r="M86" s="929">
        <f>SUM(E86+J86+K86)*L86%</f>
        <v>1.5469999999999999</v>
      </c>
      <c r="N86" s="939">
        <v>70</v>
      </c>
      <c r="O86" s="929">
        <f>SUM(E86+J86+K86)*N86/100</f>
        <v>1.5469999999999999</v>
      </c>
      <c r="P86" s="940"/>
      <c r="Q86" s="939"/>
      <c r="R86" s="940"/>
      <c r="S86" s="940"/>
      <c r="T86" s="938"/>
      <c r="U86" s="939">
        <v>0.5</v>
      </c>
      <c r="V86" s="928">
        <f t="shared" si="16"/>
        <v>3.7439999999999998</v>
      </c>
      <c r="W86" s="929">
        <f t="shared" ref="W86:W89" si="19">SUM(E86+J86+K86)*23.5%</f>
        <v>0.51934999999999998</v>
      </c>
      <c r="X86" s="929">
        <f>SUM(E86+V86+W86)</f>
        <v>6.3233500000000005</v>
      </c>
      <c r="Y86" s="986">
        <f t="shared" si="18"/>
        <v>8789456.5</v>
      </c>
    </row>
    <row r="87" spans="1:25">
      <c r="A87" s="958">
        <v>65</v>
      </c>
      <c r="B87" s="924" t="s">
        <v>663</v>
      </c>
      <c r="C87" s="925">
        <v>33929</v>
      </c>
      <c r="D87" s="926" t="s">
        <v>31</v>
      </c>
      <c r="E87" s="951">
        <v>2.34</v>
      </c>
      <c r="F87" s="1025" t="s">
        <v>631</v>
      </c>
      <c r="G87" s="1025" t="s">
        <v>632</v>
      </c>
      <c r="H87" s="1026">
        <v>2018</v>
      </c>
      <c r="I87" s="941"/>
      <c r="J87" s="934"/>
      <c r="K87" s="951"/>
      <c r="L87" s="951">
        <v>70</v>
      </c>
      <c r="M87" s="929">
        <f>SUM(E87+J87+K87)*L87%</f>
        <v>1.6379999999999999</v>
      </c>
      <c r="N87" s="951">
        <v>70</v>
      </c>
      <c r="O87" s="935">
        <f>SUM(E87+J87+K87)*N87/100</f>
        <v>1.6379999999999999</v>
      </c>
      <c r="P87" s="959"/>
      <c r="Q87" s="951"/>
      <c r="R87" s="959"/>
      <c r="S87" s="959"/>
      <c r="T87" s="941"/>
      <c r="U87" s="951">
        <v>0.5</v>
      </c>
      <c r="V87" s="928">
        <f t="shared" si="16"/>
        <v>3.7759999999999998</v>
      </c>
      <c r="W87" s="929">
        <f t="shared" si="19"/>
        <v>0.54989999999999994</v>
      </c>
      <c r="X87" s="929">
        <f>SUM(E87+V87+W87)</f>
        <v>6.6658999999999997</v>
      </c>
      <c r="Y87" s="986">
        <f t="shared" si="18"/>
        <v>9265601</v>
      </c>
    </row>
    <row r="88" spans="1:25">
      <c r="A88" s="958">
        <v>66</v>
      </c>
      <c r="B88" s="924" t="s">
        <v>97</v>
      </c>
      <c r="C88" s="930" t="s">
        <v>264</v>
      </c>
      <c r="D88" s="926" t="s">
        <v>36</v>
      </c>
      <c r="E88" s="934">
        <v>4.0599999999999996</v>
      </c>
      <c r="F88" s="1025" t="s">
        <v>631</v>
      </c>
      <c r="G88" s="1025" t="s">
        <v>639</v>
      </c>
      <c r="H88" s="1026">
        <v>2017</v>
      </c>
      <c r="I88" s="927"/>
      <c r="J88" s="963"/>
      <c r="K88" s="963"/>
      <c r="L88" s="963">
        <v>70</v>
      </c>
      <c r="M88" s="929">
        <f>SUM(E88+J88+K88)*L88%</f>
        <v>2.8419999999999996</v>
      </c>
      <c r="N88" s="963"/>
      <c r="O88" s="929"/>
      <c r="P88" s="963"/>
      <c r="Q88" s="963">
        <v>0.1</v>
      </c>
      <c r="R88" s="963"/>
      <c r="S88" s="963"/>
      <c r="T88" s="931">
        <v>1</v>
      </c>
      <c r="U88" s="963">
        <v>0.5</v>
      </c>
      <c r="V88" s="928">
        <f t="shared" si="16"/>
        <v>4.4420000000000002</v>
      </c>
      <c r="W88" s="929">
        <f t="shared" si="19"/>
        <v>0.95409999999999984</v>
      </c>
      <c r="X88" s="929">
        <f>SUM(E88+V88+W88)</f>
        <v>9.4560999999999993</v>
      </c>
      <c r="Y88" s="986">
        <f t="shared" si="18"/>
        <v>13143978.999999998</v>
      </c>
    </row>
    <row r="89" spans="1:25">
      <c r="A89" s="958">
        <v>67</v>
      </c>
      <c r="B89" s="924" t="s">
        <v>143</v>
      </c>
      <c r="C89" s="930" t="s">
        <v>144</v>
      </c>
      <c r="D89" s="926" t="s">
        <v>38</v>
      </c>
      <c r="E89" s="958">
        <v>2.86</v>
      </c>
      <c r="F89" s="1025" t="s">
        <v>631</v>
      </c>
      <c r="G89" s="1025" t="s">
        <v>631</v>
      </c>
      <c r="H89" s="1060">
        <v>2019</v>
      </c>
      <c r="I89" s="938"/>
      <c r="J89" s="963"/>
      <c r="K89" s="939"/>
      <c r="L89" s="939">
        <v>70</v>
      </c>
      <c r="M89" s="929">
        <f>SUM(E89+J89+K89)*L89%</f>
        <v>2.0019999999999998</v>
      </c>
      <c r="N89" s="939"/>
      <c r="O89" s="929"/>
      <c r="P89" s="940"/>
      <c r="Q89" s="939"/>
      <c r="R89" s="940"/>
      <c r="S89" s="940"/>
      <c r="T89" s="938">
        <v>0.5</v>
      </c>
      <c r="U89" s="939">
        <v>0.5</v>
      </c>
      <c r="V89" s="928">
        <f t="shared" si="16"/>
        <v>3.0019999999999998</v>
      </c>
      <c r="W89" s="929">
        <f t="shared" si="19"/>
        <v>0.67209999999999992</v>
      </c>
      <c r="X89" s="929">
        <f>SUM(E89+V89+W89)</f>
        <v>6.5341000000000005</v>
      </c>
      <c r="Y89" s="986">
        <f t="shared" si="18"/>
        <v>9082399</v>
      </c>
    </row>
    <row r="90" spans="1:25">
      <c r="A90" s="1006"/>
      <c r="B90" s="990" t="s">
        <v>39</v>
      </c>
      <c r="C90" s="990"/>
      <c r="D90" s="990"/>
      <c r="E90" s="991">
        <f>SUM(E12:E89)</f>
        <v>218.18000000000015</v>
      </c>
      <c r="F90" s="992"/>
      <c r="G90" s="992"/>
      <c r="H90" s="992"/>
      <c r="I90" s="993"/>
      <c r="J90" s="994">
        <f>SUM(J12:J89)</f>
        <v>2.6795999999999998</v>
      </c>
      <c r="K90" s="995">
        <f>SUM(K12:K89)</f>
        <v>4.2</v>
      </c>
      <c r="L90" s="990"/>
      <c r="M90" s="996">
        <f>SUM(M12:M89)</f>
        <v>143.92391999999998</v>
      </c>
      <c r="N90" s="990"/>
      <c r="O90" s="996">
        <f>SUM(O12:O89)</f>
        <v>49.50833999999999</v>
      </c>
      <c r="P90" s="990"/>
      <c r="Q90" s="996">
        <f>SUM(Q12:Q89)</f>
        <v>1.2</v>
      </c>
      <c r="R90" s="990"/>
      <c r="S90" s="990"/>
      <c r="T90" s="992">
        <f>SUM(T12:T89)</f>
        <v>30.299999999999994</v>
      </c>
      <c r="U90" s="997">
        <f t="shared" ref="U90:Y90" si="20">SUM(U12:U89)</f>
        <v>28.099999999999994</v>
      </c>
      <c r="V90" s="998">
        <f t="shared" si="20"/>
        <v>257.02785999999992</v>
      </c>
      <c r="W90" s="946">
        <f>SUM(W12:W89)</f>
        <v>51.902005999999979</v>
      </c>
      <c r="X90" s="998">
        <f t="shared" si="20"/>
        <v>517.82166600000016</v>
      </c>
      <c r="Y90" s="999">
        <f t="shared" si="20"/>
        <v>719772115.73999989</v>
      </c>
    </row>
    <row r="91" spans="1:25" ht="24.75" customHeight="1">
      <c r="A91" s="960"/>
      <c r="C91" s="960" t="s">
        <v>370</v>
      </c>
      <c r="D91" s="960"/>
      <c r="E91" s="960"/>
      <c r="F91" s="1065"/>
      <c r="G91" s="1065"/>
      <c r="H91" s="1065"/>
      <c r="I91" s="960"/>
      <c r="J91" s="896"/>
      <c r="K91" s="896"/>
      <c r="L91" s="896"/>
      <c r="M91" s="961"/>
      <c r="N91" s="961"/>
      <c r="O91" s="961"/>
      <c r="P91" s="961"/>
      <c r="Q91" s="1366" t="s">
        <v>664</v>
      </c>
      <c r="R91" s="1366"/>
      <c r="S91" s="1366"/>
      <c r="T91" s="1366"/>
      <c r="U91" s="1366"/>
      <c r="V91" s="1366"/>
      <c r="W91" s="1366"/>
      <c r="X91" s="1366"/>
      <c r="Y91" s="1366"/>
    </row>
    <row r="92" spans="1:25" ht="16.5">
      <c r="B92" s="962"/>
      <c r="C92" s="962" t="s">
        <v>217</v>
      </c>
      <c r="D92" s="962"/>
      <c r="E92" s="962"/>
      <c r="F92" s="1066"/>
      <c r="G92" s="1066"/>
      <c r="H92" s="1066"/>
      <c r="I92" s="962"/>
      <c r="J92" s="962"/>
      <c r="K92" s="962"/>
      <c r="L92" s="962"/>
      <c r="M92" s="961"/>
      <c r="N92" s="898"/>
      <c r="O92" s="898"/>
      <c r="P92" s="898"/>
      <c r="Q92" s="1338" t="s">
        <v>42</v>
      </c>
      <c r="R92" s="1338"/>
      <c r="S92" s="1338"/>
      <c r="T92" s="1338"/>
      <c r="U92" s="1338"/>
      <c r="V92" s="1338"/>
      <c r="W92" s="1338"/>
      <c r="X92" s="1338"/>
      <c r="Y92" s="1338"/>
    </row>
    <row r="93" spans="1:25" s="141" customFormat="1" ht="21" customHeight="1">
      <c r="A93" s="1338" t="s">
        <v>676</v>
      </c>
      <c r="B93" s="1338"/>
      <c r="C93" s="1338"/>
      <c r="D93" s="898"/>
      <c r="F93" s="1022" t="s">
        <v>627</v>
      </c>
      <c r="G93" s="1022"/>
      <c r="H93" s="1022"/>
      <c r="I93" s="899"/>
      <c r="J93" s="899"/>
      <c r="K93" s="899"/>
      <c r="L93" s="899"/>
      <c r="M93" s="899"/>
      <c r="N93" s="899"/>
      <c r="O93" s="1343" t="s">
        <v>665</v>
      </c>
      <c r="P93" s="1343"/>
      <c r="Q93" s="1343"/>
      <c r="R93" s="1343"/>
      <c r="S93" s="1343"/>
      <c r="T93" s="1343"/>
      <c r="U93" s="899"/>
      <c r="V93" s="1390" t="s">
        <v>43</v>
      </c>
      <c r="W93" s="1390"/>
      <c r="X93" s="1390"/>
      <c r="Y93" s="1390"/>
    </row>
    <row r="94" spans="1:25" ht="16.5">
      <c r="A94" s="897"/>
      <c r="B94" s="897"/>
      <c r="C94" s="897"/>
      <c r="D94" s="898"/>
      <c r="E94" s="860"/>
      <c r="F94" s="1036"/>
      <c r="G94" s="1036"/>
      <c r="H94" s="1036"/>
      <c r="I94" s="861"/>
      <c r="J94" s="899"/>
      <c r="K94" s="903"/>
      <c r="L94" s="903"/>
      <c r="M94" s="902"/>
      <c r="N94" s="903"/>
      <c r="O94" s="902"/>
      <c r="P94" s="902"/>
      <c r="Q94" s="903"/>
      <c r="R94" s="902"/>
      <c r="S94" s="904"/>
      <c r="T94" s="904"/>
      <c r="U94" s="902"/>
      <c r="V94" s="902"/>
      <c r="W94" s="903"/>
      <c r="X94" s="902"/>
      <c r="Y94" s="968"/>
    </row>
    <row r="95" spans="1:25" ht="16.5">
      <c r="A95" s="897"/>
      <c r="B95" s="897"/>
      <c r="C95" s="897"/>
      <c r="D95" s="898"/>
      <c r="E95" s="860"/>
      <c r="F95" s="1036"/>
      <c r="G95" s="1036"/>
      <c r="H95" s="1036"/>
      <c r="I95" s="861"/>
      <c r="J95" s="899"/>
      <c r="K95" s="903"/>
      <c r="L95" s="903"/>
      <c r="M95" s="902"/>
      <c r="N95" s="903"/>
      <c r="O95" s="902"/>
      <c r="P95" s="902"/>
      <c r="Q95" s="903"/>
      <c r="R95" s="902"/>
      <c r="S95" s="904"/>
      <c r="T95" s="904"/>
      <c r="U95" s="902"/>
      <c r="V95" s="902"/>
      <c r="W95" s="903"/>
      <c r="X95" s="902"/>
      <c r="Y95" s="968"/>
    </row>
    <row r="96" spans="1:25" ht="16.5">
      <c r="A96" s="897"/>
      <c r="B96" s="897"/>
      <c r="C96" s="897"/>
      <c r="D96" s="898"/>
      <c r="E96" s="860"/>
      <c r="F96" s="1036"/>
      <c r="G96" s="1036"/>
      <c r="H96" s="1036"/>
      <c r="I96" s="861"/>
      <c r="J96" s="899"/>
      <c r="K96" s="903"/>
      <c r="L96" s="903"/>
      <c r="M96" s="902"/>
      <c r="N96" s="903"/>
      <c r="O96" s="902"/>
      <c r="P96" s="902"/>
      <c r="Q96" s="903"/>
      <c r="R96" s="902"/>
      <c r="S96" s="904"/>
      <c r="T96" s="904"/>
      <c r="U96" s="902"/>
      <c r="V96" s="902"/>
      <c r="W96" s="903"/>
      <c r="X96" s="902"/>
      <c r="Y96" s="968"/>
    </row>
    <row r="97" spans="1:25" ht="17.25">
      <c r="A97" s="901"/>
      <c r="B97" s="902"/>
      <c r="C97" s="902"/>
      <c r="D97" s="902"/>
      <c r="E97" s="860"/>
      <c r="F97" s="1037"/>
      <c r="G97" s="1037"/>
      <c r="H97" s="1037"/>
      <c r="I97" s="899"/>
      <c r="J97" s="899"/>
      <c r="K97" s="903"/>
      <c r="L97" s="903"/>
      <c r="M97" s="902"/>
      <c r="N97" s="903"/>
      <c r="O97" s="902"/>
      <c r="P97" s="902"/>
      <c r="Q97" s="903"/>
      <c r="R97" s="902"/>
      <c r="S97" s="904"/>
      <c r="T97" s="904"/>
      <c r="U97" s="902"/>
      <c r="V97" s="902"/>
      <c r="W97" s="903"/>
      <c r="X97" s="902"/>
      <c r="Y97" s="968"/>
    </row>
    <row r="98" spans="1:25" ht="16.5">
      <c r="A98" s="902"/>
      <c r="B98" s="902"/>
      <c r="C98" s="902"/>
      <c r="D98" s="902"/>
      <c r="E98" s="902"/>
      <c r="F98" s="1038"/>
      <c r="G98" s="1038"/>
      <c r="H98" s="1038"/>
      <c r="I98" s="902"/>
      <c r="J98" s="899"/>
      <c r="K98" s="903"/>
      <c r="L98" s="903"/>
      <c r="M98" s="902"/>
      <c r="N98" s="903"/>
      <c r="O98" s="902"/>
      <c r="P98" s="902"/>
      <c r="Q98" s="903"/>
      <c r="R98" s="902"/>
      <c r="S98" s="904"/>
      <c r="T98" s="904"/>
      <c r="U98" s="902"/>
      <c r="V98" s="902"/>
      <c r="W98" s="903"/>
      <c r="X98" s="902"/>
      <c r="Y98" s="968"/>
    </row>
    <row r="99" spans="1:25" ht="24.75" customHeight="1">
      <c r="A99" s="1339" t="s">
        <v>46</v>
      </c>
      <c r="B99" s="1339"/>
      <c r="C99" s="1339"/>
      <c r="D99" s="906"/>
      <c r="E99" s="1339" t="s">
        <v>356</v>
      </c>
      <c r="F99" s="1339"/>
      <c r="G99" s="1339"/>
      <c r="H99" s="1339"/>
      <c r="I99" s="1339"/>
      <c r="J99" s="1339"/>
      <c r="K99" s="1339"/>
      <c r="L99" s="1339"/>
      <c r="M99" s="899"/>
      <c r="N99" s="899"/>
      <c r="O99" s="1343" t="s">
        <v>222</v>
      </c>
      <c r="P99" s="1343"/>
      <c r="Q99" s="1343"/>
      <c r="R99" s="1343"/>
      <c r="S99" s="1343"/>
      <c r="T99" s="1343"/>
      <c r="U99" s="899"/>
      <c r="V99" s="1390" t="s">
        <v>666</v>
      </c>
      <c r="W99" s="1390"/>
      <c r="X99" s="1390"/>
      <c r="Y99" s="1390"/>
    </row>
  </sheetData>
  <mergeCells count="52">
    <mergeCell ref="F7:H8"/>
    <mergeCell ref="V93:Y93"/>
    <mergeCell ref="E99:L99"/>
    <mergeCell ref="V99:Y99"/>
    <mergeCell ref="Q91:Y91"/>
    <mergeCell ref="Q92:Y92"/>
    <mergeCell ref="T8:T10"/>
    <mergeCell ref="U8:U10"/>
    <mergeCell ref="Y7:Y10"/>
    <mergeCell ref="I8:J8"/>
    <mergeCell ref="K8:K10"/>
    <mergeCell ref="L8:M8"/>
    <mergeCell ref="N8:O8"/>
    <mergeCell ref="P8:P10"/>
    <mergeCell ref="Q8:Q10"/>
    <mergeCell ref="R8:R10"/>
    <mergeCell ref="S8:S10"/>
    <mergeCell ref="V8:V10"/>
    <mergeCell ref="I9:I10"/>
    <mergeCell ref="J9:J10"/>
    <mergeCell ref="L9:L10"/>
    <mergeCell ref="M9:M10"/>
    <mergeCell ref="N9:N10"/>
    <mergeCell ref="O9:O10"/>
    <mergeCell ref="A1:I1"/>
    <mergeCell ref="P1:Y1"/>
    <mergeCell ref="A2:I2"/>
    <mergeCell ref="P2:Y2"/>
    <mergeCell ref="O3:Y3"/>
    <mergeCell ref="A4:Y4"/>
    <mergeCell ref="B18:C18"/>
    <mergeCell ref="B31:C31"/>
    <mergeCell ref="B38:C38"/>
    <mergeCell ref="B46:C46"/>
    <mergeCell ref="A5:Y5"/>
    <mergeCell ref="A6:C6"/>
    <mergeCell ref="V6:Y6"/>
    <mergeCell ref="A7:A10"/>
    <mergeCell ref="B7:B10"/>
    <mergeCell ref="C7:C10"/>
    <mergeCell ref="D7:D10"/>
    <mergeCell ref="E7:E10"/>
    <mergeCell ref="I7:V7"/>
    <mergeCell ref="W7:W10"/>
    <mergeCell ref="X7:X10"/>
    <mergeCell ref="O93:T93"/>
    <mergeCell ref="O99:T99"/>
    <mergeCell ref="B65:C65"/>
    <mergeCell ref="B71:C71"/>
    <mergeCell ref="B78:C78"/>
    <mergeCell ref="A99:C99"/>
    <mergeCell ref="A93:C93"/>
  </mergeCells>
  <pageMargins left="0.24" right="0.16" top="0.24" bottom="0.26" header="0.2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2"/>
  <sheetViews>
    <sheetView workbookViewId="0">
      <selection activeCell="V9" sqref="V9"/>
    </sheetView>
  </sheetViews>
  <sheetFormatPr defaultColWidth="9" defaultRowHeight="15"/>
  <cols>
    <col min="1" max="1" width="3.140625" style="13" customWidth="1"/>
    <col min="2" max="2" width="20.7109375" style="13" customWidth="1"/>
    <col min="3" max="3" width="11.42578125" style="13" customWidth="1"/>
    <col min="4" max="4" width="9.42578125" style="13" customWidth="1"/>
    <col min="5" max="5" width="5.28515625" style="13" customWidth="1"/>
    <col min="6" max="6" width="2.7109375" style="13" customWidth="1"/>
    <col min="7" max="7" width="5.140625" style="13" customWidth="1"/>
    <col min="8" max="8" width="5.42578125" style="13" customWidth="1"/>
    <col min="9" max="10" width="4.28515625" style="13" customWidth="1"/>
    <col min="11" max="11" width="6.7109375" style="13" customWidth="1"/>
    <col min="12" max="12" width="4.42578125" style="13" customWidth="1"/>
    <col min="13" max="13" width="5" style="13" customWidth="1"/>
    <col min="14" max="14" width="4.42578125" style="13" customWidth="1"/>
    <col min="15" max="15" width="5.42578125" style="13" customWidth="1"/>
    <col min="16" max="16" width="5.85546875" style="13" customWidth="1"/>
    <col min="17" max="17" width="7.42578125" style="13" customWidth="1"/>
    <col min="18" max="18" width="7.7109375" style="13" customWidth="1"/>
    <col min="19" max="19" width="13.42578125" style="13" customWidth="1"/>
    <col min="20" max="20" width="11.42578125" style="13" customWidth="1"/>
    <col min="21" max="16384" width="9" style="13"/>
  </cols>
  <sheetData>
    <row r="1" spans="1:22" ht="18.75">
      <c r="A1" s="1129" t="s">
        <v>0</v>
      </c>
      <c r="B1" s="1129"/>
      <c r="C1" s="1129"/>
      <c r="D1" s="1129"/>
      <c r="E1" s="134"/>
      <c r="F1" s="134"/>
      <c r="G1" s="134"/>
      <c r="H1" s="134"/>
      <c r="I1" s="134"/>
      <c r="J1" s="134"/>
      <c r="K1" s="1114" t="s">
        <v>236</v>
      </c>
      <c r="L1" s="1114"/>
      <c r="M1" s="1114"/>
      <c r="N1" s="1114"/>
      <c r="O1" s="1114"/>
      <c r="P1" s="1114"/>
      <c r="Q1" s="1114"/>
      <c r="R1" s="1114"/>
      <c r="S1" s="1114"/>
      <c r="T1" s="1114"/>
    </row>
    <row r="2" spans="1:22" ht="18.75">
      <c r="A2" s="1114" t="s">
        <v>42</v>
      </c>
      <c r="B2" s="1114"/>
      <c r="C2" s="1114"/>
      <c r="D2" s="1114"/>
      <c r="E2" s="134"/>
      <c r="F2" s="134"/>
      <c r="G2" s="134"/>
      <c r="H2" s="134"/>
      <c r="I2" s="134"/>
      <c r="J2" s="134"/>
      <c r="K2" s="1122" t="s">
        <v>3</v>
      </c>
      <c r="L2" s="1122"/>
      <c r="M2" s="1122"/>
      <c r="N2" s="1122"/>
      <c r="O2" s="1122"/>
      <c r="P2" s="1122"/>
      <c r="Q2" s="1122"/>
      <c r="R2" s="1122"/>
      <c r="S2" s="1122"/>
      <c r="T2" s="1122"/>
    </row>
    <row r="3" spans="1:22" ht="14.25" customHeight="1">
      <c r="A3" s="134"/>
      <c r="B3" s="134"/>
      <c r="C3" s="134"/>
      <c r="D3" s="134"/>
      <c r="E3" s="134"/>
      <c r="F3" s="134"/>
      <c r="G3" s="134"/>
      <c r="H3" s="292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22" ht="14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22" ht="17.25" customHeight="1">
      <c r="A5" s="1121" t="s">
        <v>442</v>
      </c>
      <c r="B5" s="1121"/>
      <c r="C5" s="1121"/>
      <c r="D5" s="1121"/>
      <c r="E5" s="1121"/>
      <c r="F5" s="1121"/>
      <c r="G5" s="1121"/>
      <c r="H5" s="1121"/>
      <c r="I5" s="1121"/>
      <c r="J5" s="1121"/>
      <c r="K5" s="1121"/>
      <c r="L5" s="1121"/>
      <c r="M5" s="1121"/>
      <c r="N5" s="1121"/>
      <c r="O5" s="1121"/>
      <c r="P5" s="1121"/>
      <c r="Q5" s="1121"/>
      <c r="R5" s="1121"/>
      <c r="S5" s="1121"/>
      <c r="T5" s="1121"/>
    </row>
    <row r="6" spans="1:22" ht="14.2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22" s="130" customFormat="1" ht="23.25" customHeight="1">
      <c r="A7" s="1115" t="s">
        <v>51</v>
      </c>
      <c r="B7" s="1115" t="s">
        <v>6</v>
      </c>
      <c r="C7" s="1115" t="s">
        <v>7</v>
      </c>
      <c r="D7" s="1118" t="s">
        <v>8</v>
      </c>
      <c r="E7" s="1118" t="s">
        <v>9</v>
      </c>
      <c r="F7" s="1130" t="s">
        <v>238</v>
      </c>
      <c r="G7" s="1131"/>
      <c r="H7" s="1131"/>
      <c r="I7" s="1131"/>
      <c r="J7" s="1131"/>
      <c r="K7" s="1131"/>
      <c r="L7" s="1131"/>
      <c r="M7" s="1131"/>
      <c r="N7" s="1131"/>
      <c r="O7" s="1131"/>
      <c r="P7" s="1132"/>
      <c r="Q7" s="1115" t="s">
        <v>246</v>
      </c>
      <c r="R7" s="1126" t="s">
        <v>161</v>
      </c>
      <c r="S7" s="1115" t="s">
        <v>247</v>
      </c>
      <c r="T7" s="1115" t="s">
        <v>13</v>
      </c>
    </row>
    <row r="8" spans="1:22" s="130" customFormat="1" ht="33" customHeight="1">
      <c r="A8" s="1116"/>
      <c r="B8" s="1116"/>
      <c r="C8" s="1116"/>
      <c r="D8" s="1119"/>
      <c r="E8" s="1119"/>
      <c r="F8" s="1117" t="s">
        <v>305</v>
      </c>
      <c r="G8" s="1117"/>
      <c r="H8" s="1124" t="s">
        <v>14</v>
      </c>
      <c r="I8" s="1124" t="s">
        <v>15</v>
      </c>
      <c r="J8" s="1133" t="s">
        <v>16</v>
      </c>
      <c r="K8" s="1133"/>
      <c r="L8" s="1133" t="s">
        <v>17</v>
      </c>
      <c r="M8" s="1133"/>
      <c r="N8" s="1124" t="s">
        <v>212</v>
      </c>
      <c r="O8" s="1124" t="s">
        <v>239</v>
      </c>
      <c r="P8" s="1124" t="s">
        <v>150</v>
      </c>
      <c r="Q8" s="1116"/>
      <c r="R8" s="1127"/>
      <c r="S8" s="1116"/>
      <c r="T8" s="1116"/>
    </row>
    <row r="9" spans="1:22" s="130" customFormat="1" ht="33" customHeight="1">
      <c r="A9" s="1117"/>
      <c r="B9" s="1117"/>
      <c r="C9" s="1117"/>
      <c r="D9" s="1120"/>
      <c r="E9" s="1120"/>
      <c r="F9" s="155" t="s">
        <v>24</v>
      </c>
      <c r="G9" s="155" t="s">
        <v>9</v>
      </c>
      <c r="H9" s="1120"/>
      <c r="I9" s="1120"/>
      <c r="J9" s="155" t="s">
        <v>24</v>
      </c>
      <c r="K9" s="155" t="s">
        <v>9</v>
      </c>
      <c r="L9" s="155" t="s">
        <v>24</v>
      </c>
      <c r="M9" s="155" t="s">
        <v>9</v>
      </c>
      <c r="N9" s="1120"/>
      <c r="O9" s="1120"/>
      <c r="P9" s="1120"/>
      <c r="Q9" s="1117"/>
      <c r="R9" s="1128"/>
      <c r="S9" s="1117"/>
      <c r="T9" s="1117"/>
    </row>
    <row r="10" spans="1:22" s="339" customFormat="1" ht="21.75" customHeight="1">
      <c r="A10" s="487">
        <v>1</v>
      </c>
      <c r="B10" s="488" t="s">
        <v>170</v>
      </c>
      <c r="C10" s="489">
        <v>33604</v>
      </c>
      <c r="D10" s="490" t="s">
        <v>171</v>
      </c>
      <c r="E10" s="491">
        <v>2.34</v>
      </c>
      <c r="F10" s="490"/>
      <c r="G10" s="490"/>
      <c r="H10" s="490"/>
      <c r="I10" s="490">
        <v>0.3</v>
      </c>
      <c r="J10" s="490">
        <v>60</v>
      </c>
      <c r="K10" s="492">
        <f>J10%*E10</f>
        <v>1.4039999999999999</v>
      </c>
      <c r="L10" s="490"/>
      <c r="M10" s="493"/>
      <c r="N10" s="490">
        <v>0.2</v>
      </c>
      <c r="O10" s="493"/>
      <c r="P10" s="490"/>
      <c r="Q10" s="674">
        <f>(P10+O10+K10+I10+H10+G10+E10)</f>
        <v>4.0439999999999996</v>
      </c>
      <c r="R10" s="667">
        <f>E10*24%</f>
        <v>0.56159999999999999</v>
      </c>
      <c r="S10" s="668">
        <f>(R10+Q10)*1390000</f>
        <v>6401784</v>
      </c>
      <c r="T10" s="490" t="s">
        <v>362</v>
      </c>
    </row>
    <row r="11" spans="1:22" s="122" customFormat="1" ht="18">
      <c r="A11" s="366"/>
      <c r="B11" s="367"/>
      <c r="C11" s="368"/>
      <c r="D11" s="550"/>
      <c r="E11" s="672">
        <f>SUM(E10)</f>
        <v>2.34</v>
      </c>
      <c r="F11" s="369"/>
      <c r="G11" s="369"/>
      <c r="H11" s="330"/>
      <c r="I11" s="330">
        <f>SUM(I10)</f>
        <v>0.3</v>
      </c>
      <c r="J11" s="330">
        <f>SUM(J10)</f>
        <v>60</v>
      </c>
      <c r="K11" s="673">
        <f>SUM(K10)</f>
        <v>1.4039999999999999</v>
      </c>
      <c r="L11" s="370"/>
      <c r="M11" s="370"/>
      <c r="N11" s="370">
        <f>SUM(N10)</f>
        <v>0.2</v>
      </c>
      <c r="O11" s="370"/>
      <c r="P11" s="370"/>
      <c r="Q11" s="671">
        <f>SUM(Q10)</f>
        <v>4.0439999999999996</v>
      </c>
      <c r="R11" s="371">
        <f>SUM(R10)</f>
        <v>0.56159999999999999</v>
      </c>
      <c r="S11" s="372">
        <f>SUM(S10)</f>
        <v>6401784</v>
      </c>
      <c r="T11" s="369"/>
      <c r="U11" s="141"/>
      <c r="V11" s="677"/>
    </row>
    <row r="12" spans="1:22" s="229" customFormat="1" ht="21" customHeight="1">
      <c r="B12" s="329" t="s">
        <v>361</v>
      </c>
      <c r="G12" s="374"/>
      <c r="H12" s="375"/>
      <c r="I12" s="374"/>
      <c r="J12" s="329"/>
      <c r="K12" s="329"/>
      <c r="L12" s="329"/>
      <c r="M12" s="1125" t="s">
        <v>216</v>
      </c>
      <c r="N12" s="1125"/>
      <c r="O12" s="1125"/>
      <c r="P12" s="1125"/>
      <c r="Q12" s="1125"/>
      <c r="R12" s="1125"/>
      <c r="S12" s="1125"/>
      <c r="T12" s="1125"/>
    </row>
    <row r="13" spans="1:22" s="14" customFormat="1" ht="24" customHeight="1">
      <c r="A13" s="1123" t="s">
        <v>217</v>
      </c>
      <c r="B13" s="1123"/>
      <c r="C13" s="1123"/>
      <c r="D13" s="1123"/>
      <c r="E13" s="1123"/>
      <c r="F13" s="1123"/>
      <c r="I13" s="111"/>
      <c r="J13" s="113"/>
      <c r="K13" s="113"/>
      <c r="L13" s="113"/>
      <c r="M13" s="1123" t="s">
        <v>42</v>
      </c>
      <c r="N13" s="1123"/>
      <c r="O13" s="1123"/>
      <c r="P13" s="1123"/>
      <c r="Q13" s="1123"/>
      <c r="R13" s="1123"/>
      <c r="S13" s="1123"/>
      <c r="T13" s="1123"/>
    </row>
    <row r="14" spans="1:22" s="113" customFormat="1" ht="14.25" customHeight="1">
      <c r="A14" s="1123" t="s">
        <v>183</v>
      </c>
      <c r="B14" s="1123"/>
      <c r="C14" s="112"/>
      <c r="D14" s="1123" t="s">
        <v>184</v>
      </c>
      <c r="E14" s="1123"/>
      <c r="F14" s="1123"/>
      <c r="G14" s="1123"/>
      <c r="H14" s="1123"/>
      <c r="L14" s="1123" t="s">
        <v>45</v>
      </c>
      <c r="M14" s="1123"/>
      <c r="N14" s="1123"/>
      <c r="O14" s="1123"/>
      <c r="Q14" s="1123" t="s">
        <v>43</v>
      </c>
      <c r="R14" s="1123"/>
      <c r="S14" s="1123"/>
      <c r="T14" s="1123"/>
    </row>
    <row r="15" spans="1:22" s="14" customFormat="1" ht="14.25">
      <c r="A15" s="110"/>
      <c r="B15" s="110"/>
      <c r="C15" s="110"/>
      <c r="D15" s="110"/>
      <c r="E15" s="109"/>
      <c r="F15" s="110"/>
      <c r="G15" s="109"/>
      <c r="H15" s="110"/>
      <c r="I15" s="109"/>
      <c r="J15" s="110"/>
      <c r="K15" s="110"/>
      <c r="L15" s="110"/>
      <c r="M15" s="109"/>
      <c r="N15" s="109"/>
      <c r="O15" s="109"/>
      <c r="P15" s="109"/>
      <c r="Q15" s="110"/>
    </row>
    <row r="16" spans="1:22" s="14" customFormat="1" ht="14.25">
      <c r="A16" s="110"/>
      <c r="B16" s="110"/>
      <c r="C16" s="110"/>
      <c r="D16" s="110"/>
      <c r="E16" s="109"/>
      <c r="F16" s="110"/>
      <c r="G16" s="109"/>
      <c r="H16" s="110"/>
      <c r="I16" s="109"/>
      <c r="J16" s="110"/>
      <c r="K16" s="110"/>
      <c r="L16" s="110"/>
      <c r="M16" s="109"/>
      <c r="N16" s="109"/>
      <c r="O16" s="109"/>
      <c r="P16" s="109"/>
      <c r="Q16" s="110"/>
    </row>
    <row r="17" spans="1:20" s="14" customFormat="1" ht="14.25">
      <c r="A17" s="110"/>
      <c r="B17" s="110"/>
      <c r="C17" s="110"/>
      <c r="D17" s="110"/>
      <c r="E17" s="109"/>
      <c r="F17" s="110"/>
      <c r="G17" s="109"/>
      <c r="H17" s="110"/>
      <c r="I17" s="109"/>
      <c r="J17" s="110"/>
      <c r="K17" s="110"/>
      <c r="L17" s="110"/>
      <c r="M17" s="109"/>
      <c r="N17" s="109"/>
      <c r="O17" s="109"/>
      <c r="P17" s="109"/>
      <c r="Q17" s="110"/>
    </row>
    <row r="18" spans="1:20" s="14" customFormat="1" ht="14.25">
      <c r="A18" s="110"/>
      <c r="B18" s="110"/>
      <c r="C18" s="110"/>
      <c r="D18" s="110"/>
      <c r="E18" s="109"/>
      <c r="F18" s="110"/>
      <c r="G18" s="109"/>
      <c r="H18" s="110"/>
      <c r="I18" s="109"/>
      <c r="J18" s="110"/>
      <c r="K18" s="110"/>
      <c r="L18" s="110"/>
      <c r="M18" s="109"/>
      <c r="N18" s="109"/>
      <c r="O18" s="109"/>
      <c r="P18" s="109"/>
      <c r="Q18" s="110"/>
    </row>
    <row r="19" spans="1:20" s="113" customFormat="1" ht="26.25" customHeight="1">
      <c r="C19" s="110"/>
      <c r="D19" s="110"/>
      <c r="E19" s="109"/>
      <c r="F19" s="110"/>
      <c r="G19" s="109"/>
      <c r="H19" s="110"/>
      <c r="I19" s="109"/>
      <c r="J19" s="110"/>
      <c r="K19" s="110"/>
      <c r="L19" s="110"/>
      <c r="M19" s="109"/>
      <c r="N19" s="109"/>
      <c r="O19" s="109"/>
      <c r="P19" s="109"/>
      <c r="Q19" s="110"/>
      <c r="R19" s="14"/>
      <c r="S19" s="14"/>
      <c r="T19" s="14"/>
    </row>
    <row r="20" spans="1:20" ht="14.25" customHeight="1">
      <c r="A20" s="1123" t="s">
        <v>46</v>
      </c>
      <c r="B20" s="1123"/>
      <c r="C20" s="112"/>
      <c r="D20" s="1123" t="s">
        <v>356</v>
      </c>
      <c r="E20" s="1123"/>
      <c r="F20" s="1123"/>
      <c r="G20" s="1123"/>
      <c r="H20" s="1123"/>
      <c r="I20" s="113"/>
      <c r="J20" s="113"/>
      <c r="K20" s="113"/>
      <c r="L20" s="1123" t="s">
        <v>222</v>
      </c>
      <c r="M20" s="1123"/>
      <c r="N20" s="1123"/>
      <c r="O20" s="1123"/>
      <c r="P20" s="113"/>
      <c r="Q20" s="1123" t="s">
        <v>49</v>
      </c>
      <c r="R20" s="1123"/>
      <c r="S20" s="1123"/>
      <c r="T20" s="1123"/>
    </row>
    <row r="21" spans="1:20" ht="14.25" customHeight="1">
      <c r="A21" s="549"/>
      <c r="B21" s="549"/>
      <c r="C21" s="112"/>
      <c r="D21" s="549"/>
      <c r="E21" s="549"/>
      <c r="F21" s="549"/>
      <c r="G21" s="549"/>
      <c r="H21" s="549"/>
      <c r="I21" s="113"/>
      <c r="J21" s="113"/>
      <c r="K21" s="113"/>
      <c r="L21" s="549"/>
      <c r="M21" s="549"/>
      <c r="N21" s="549"/>
      <c r="O21" s="549"/>
      <c r="P21" s="113"/>
      <c r="Q21" s="549"/>
      <c r="R21" s="549"/>
      <c r="S21" s="549"/>
      <c r="T21" s="549"/>
    </row>
    <row r="22" spans="1:20" ht="14.25" customHeight="1">
      <c r="A22" s="549"/>
      <c r="B22" s="549"/>
      <c r="C22" s="112"/>
      <c r="D22" s="549"/>
      <c r="E22" s="549"/>
      <c r="F22" s="549"/>
      <c r="G22" s="549"/>
      <c r="H22" s="549"/>
      <c r="I22" s="113"/>
      <c r="J22" s="113"/>
      <c r="K22" s="113"/>
      <c r="L22" s="549"/>
      <c r="M22" s="549"/>
      <c r="N22" s="549"/>
      <c r="O22" s="549"/>
      <c r="P22" s="113"/>
      <c r="Q22" s="549"/>
      <c r="R22" s="549"/>
      <c r="S22" s="549"/>
      <c r="T22" s="549"/>
    </row>
    <row r="23" spans="1:20" ht="14.25" customHeight="1">
      <c r="A23" s="549"/>
      <c r="B23" s="549"/>
      <c r="C23" s="112"/>
      <c r="D23" s="549"/>
      <c r="E23" s="549"/>
      <c r="F23" s="549"/>
      <c r="G23" s="549"/>
      <c r="H23" s="549"/>
      <c r="I23" s="113"/>
      <c r="J23" s="113"/>
      <c r="K23" s="113"/>
      <c r="L23" s="549"/>
      <c r="M23" s="549"/>
      <c r="N23" s="549"/>
      <c r="O23" s="549"/>
      <c r="P23" s="113"/>
      <c r="Q23" s="549"/>
      <c r="R23" s="549"/>
      <c r="S23" s="549"/>
      <c r="T23" s="549"/>
    </row>
    <row r="24" spans="1:20" ht="14.25" customHeight="1">
      <c r="A24" s="549"/>
      <c r="B24" s="549"/>
      <c r="C24" s="112"/>
      <c r="D24" s="549"/>
      <c r="E24" s="549"/>
      <c r="F24" s="549"/>
      <c r="G24" s="549"/>
      <c r="H24" s="549"/>
      <c r="I24" s="113"/>
      <c r="J24" s="113"/>
      <c r="K24" s="113"/>
      <c r="L24" s="549"/>
      <c r="M24" s="549"/>
      <c r="N24" s="549"/>
      <c r="O24" s="549"/>
      <c r="P24" s="113"/>
      <c r="Q24" s="549"/>
      <c r="R24" s="549"/>
      <c r="S24" s="549"/>
      <c r="T24" s="549"/>
    </row>
    <row r="25" spans="1:20" ht="14.25" customHeight="1">
      <c r="A25" s="549"/>
      <c r="B25" s="549"/>
      <c r="C25" s="112"/>
      <c r="D25" s="549"/>
      <c r="E25" s="549"/>
      <c r="F25" s="549"/>
      <c r="G25" s="549"/>
      <c r="H25" s="549"/>
      <c r="I25" s="113"/>
      <c r="J25" s="113"/>
      <c r="K25" s="113"/>
      <c r="L25" s="549"/>
      <c r="M25" s="549"/>
      <c r="N25" s="549"/>
      <c r="O25" s="549"/>
      <c r="P25" s="113"/>
      <c r="Q25" s="549"/>
      <c r="R25" s="549"/>
      <c r="S25" s="549"/>
      <c r="T25" s="549"/>
    </row>
    <row r="26" spans="1:20" ht="14.25" customHeight="1">
      <c r="A26" s="549"/>
      <c r="B26" s="549"/>
      <c r="C26" s="112"/>
      <c r="D26" s="549"/>
      <c r="E26" s="549"/>
      <c r="F26" s="549"/>
      <c r="G26" s="549"/>
      <c r="H26" s="549"/>
      <c r="I26" s="113"/>
      <c r="J26" s="113"/>
      <c r="K26" s="113"/>
      <c r="L26" s="549"/>
      <c r="M26" s="549"/>
      <c r="N26" s="549"/>
      <c r="O26" s="549"/>
      <c r="P26" s="113"/>
      <c r="Q26" s="549"/>
      <c r="R26" s="549"/>
      <c r="S26" s="549"/>
      <c r="T26" s="549"/>
    </row>
    <row r="27" spans="1:20" ht="14.25" customHeight="1">
      <c r="A27" s="549"/>
      <c r="B27" s="549"/>
      <c r="C27" s="112"/>
      <c r="D27" s="549"/>
      <c r="E27" s="549"/>
      <c r="F27" s="549"/>
      <c r="G27" s="549"/>
      <c r="H27" s="549"/>
      <c r="I27" s="113"/>
      <c r="J27" s="113"/>
      <c r="K27" s="113"/>
      <c r="L27" s="549"/>
      <c r="M27" s="549"/>
      <c r="N27" s="549"/>
      <c r="O27" s="549"/>
      <c r="P27" s="113"/>
      <c r="Q27" s="549"/>
      <c r="R27" s="549"/>
      <c r="S27" s="549"/>
      <c r="T27" s="549"/>
    </row>
    <row r="28" spans="1:20" ht="14.25" customHeight="1">
      <c r="A28" s="549"/>
      <c r="B28" s="549"/>
      <c r="C28" s="112"/>
      <c r="D28" s="549"/>
      <c r="E28" s="549"/>
      <c r="F28" s="549"/>
      <c r="G28" s="549"/>
      <c r="H28" s="549"/>
      <c r="I28" s="113"/>
      <c r="J28" s="113"/>
      <c r="K28" s="113"/>
      <c r="L28" s="549"/>
      <c r="M28" s="549"/>
      <c r="N28" s="549"/>
      <c r="O28" s="549"/>
      <c r="P28" s="113"/>
      <c r="Q28" s="549"/>
      <c r="R28" s="549"/>
      <c r="S28" s="549"/>
      <c r="T28" s="549"/>
    </row>
    <row r="29" spans="1:20" ht="14.25" customHeight="1">
      <c r="A29" s="549"/>
      <c r="B29" s="549"/>
      <c r="C29" s="112"/>
      <c r="D29" s="549"/>
      <c r="E29" s="549"/>
      <c r="F29" s="549"/>
      <c r="G29" s="549"/>
      <c r="H29" s="549"/>
      <c r="I29" s="113"/>
      <c r="J29" s="113"/>
      <c r="K29" s="113"/>
      <c r="L29" s="549"/>
      <c r="M29" s="549"/>
      <c r="N29" s="549"/>
      <c r="O29" s="549"/>
      <c r="P29" s="113"/>
      <c r="Q29" s="549"/>
      <c r="R29" s="549"/>
      <c r="S29" s="549"/>
      <c r="T29" s="549"/>
    </row>
    <row r="30" spans="1:20" ht="14.25" customHeight="1">
      <c r="A30" s="549"/>
      <c r="B30" s="549"/>
      <c r="C30" s="112"/>
      <c r="D30" s="549"/>
      <c r="E30" s="549"/>
      <c r="F30" s="549"/>
      <c r="G30" s="549"/>
      <c r="H30" s="549"/>
      <c r="I30" s="113"/>
      <c r="J30" s="113"/>
      <c r="K30" s="113"/>
      <c r="L30" s="549"/>
      <c r="M30" s="549"/>
      <c r="N30" s="549"/>
      <c r="O30" s="549"/>
      <c r="P30" s="113"/>
      <c r="Q30" s="549"/>
      <c r="R30" s="549"/>
      <c r="S30" s="549"/>
      <c r="T30" s="549"/>
    </row>
    <row r="31" spans="1:20" ht="14.25" customHeight="1">
      <c r="A31" s="549"/>
      <c r="B31" s="549"/>
      <c r="C31" s="112"/>
      <c r="D31" s="549"/>
      <c r="E31" s="549"/>
      <c r="F31" s="549"/>
      <c r="G31" s="549"/>
      <c r="H31" s="549"/>
      <c r="I31" s="113"/>
      <c r="J31" s="113"/>
      <c r="K31" s="113"/>
      <c r="L31" s="549"/>
      <c r="M31" s="549"/>
      <c r="N31" s="549"/>
      <c r="O31" s="549"/>
      <c r="P31" s="113"/>
      <c r="Q31" s="549"/>
      <c r="R31" s="549"/>
      <c r="S31" s="549"/>
      <c r="T31" s="549"/>
    </row>
    <row r="32" spans="1:20" ht="14.25" customHeight="1">
      <c r="A32" s="549"/>
      <c r="B32" s="549"/>
      <c r="C32" s="112"/>
      <c r="D32" s="549"/>
      <c r="E32" s="549"/>
      <c r="F32" s="549"/>
      <c r="G32" s="549"/>
      <c r="H32" s="549"/>
      <c r="I32" s="113"/>
      <c r="J32" s="113"/>
      <c r="K32" s="113"/>
      <c r="L32" s="549"/>
      <c r="M32" s="549"/>
      <c r="N32" s="549"/>
      <c r="O32" s="549"/>
      <c r="P32" s="113"/>
      <c r="Q32" s="549"/>
      <c r="R32" s="549"/>
      <c r="S32" s="549"/>
      <c r="T32" s="549"/>
    </row>
  </sheetData>
  <mergeCells count="34">
    <mergeCell ref="A14:B14"/>
    <mergeCell ref="D14:H14"/>
    <mergeCell ref="L14:O14"/>
    <mergeCell ref="Q14:T14"/>
    <mergeCell ref="F7:P7"/>
    <mergeCell ref="I8:I9"/>
    <mergeCell ref="J8:K8"/>
    <mergeCell ref="L8:M8"/>
    <mergeCell ref="E7:E9"/>
    <mergeCell ref="K1:T1"/>
    <mergeCell ref="K2:T2"/>
    <mergeCell ref="A20:B20"/>
    <mergeCell ref="D20:H20"/>
    <mergeCell ref="L20:O20"/>
    <mergeCell ref="Q20:T20"/>
    <mergeCell ref="N8:N9"/>
    <mergeCell ref="O8:O9"/>
    <mergeCell ref="P8:P9"/>
    <mergeCell ref="M12:T12"/>
    <mergeCell ref="A13:F13"/>
    <mergeCell ref="M13:T13"/>
    <mergeCell ref="Q7:Q9"/>
    <mergeCell ref="R7:R9"/>
    <mergeCell ref="A1:D1"/>
    <mergeCell ref="S7:S9"/>
    <mergeCell ref="A2:D2"/>
    <mergeCell ref="A7:A9"/>
    <mergeCell ref="B7:B9"/>
    <mergeCell ref="C7:C9"/>
    <mergeCell ref="D7:D9"/>
    <mergeCell ref="A5:T5"/>
    <mergeCell ref="T7:T9"/>
    <mergeCell ref="F8:G8"/>
    <mergeCell ref="H8:H9"/>
  </mergeCells>
  <pageMargins left="0.24" right="0.16" top="0.2" bottom="0.32" header="0.2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6"/>
  <sheetViews>
    <sheetView workbookViewId="0">
      <selection activeCell="A99" sqref="A99:XFD104"/>
    </sheetView>
  </sheetViews>
  <sheetFormatPr defaultColWidth="9" defaultRowHeight="15"/>
  <cols>
    <col min="1" max="1" width="2.7109375" style="13" customWidth="1"/>
    <col min="2" max="2" width="3.28515625" style="13" customWidth="1"/>
    <col min="3" max="3" width="21.5703125" style="13" customWidth="1"/>
    <col min="4" max="4" width="15.5703125" style="13" customWidth="1"/>
    <col min="5" max="5" width="11.42578125" style="13" customWidth="1"/>
    <col min="6" max="6" width="4.140625" style="13" customWidth="1"/>
    <col min="7" max="7" width="4.42578125" style="13" customWidth="1"/>
    <col min="8" max="8" width="6.28515625" style="13" customWidth="1"/>
    <col min="9" max="9" width="18.7109375" style="13" customWidth="1"/>
    <col min="10" max="10" width="5.42578125" style="323" customWidth="1"/>
    <col min="11" max="11" width="4.5703125" style="13" customWidth="1"/>
    <col min="12" max="12" width="5.140625" style="13" customWidth="1"/>
    <col min="13" max="13" width="15.85546875" style="13" customWidth="1"/>
    <col min="14" max="14" width="4.85546875" style="13" customWidth="1"/>
    <col min="15" max="15" width="15.85546875" style="13" customWidth="1"/>
    <col min="16" max="16" width="14.85546875" style="13" customWidth="1"/>
    <col min="17" max="16384" width="9" style="13"/>
  </cols>
  <sheetData>
    <row r="1" spans="1:16" ht="16.5">
      <c r="B1" s="1141" t="s">
        <v>0</v>
      </c>
      <c r="C1" s="1141"/>
      <c r="D1" s="160"/>
      <c r="E1" s="160"/>
      <c r="F1" s="317"/>
      <c r="G1" s="317"/>
      <c r="I1" s="1141" t="s">
        <v>1</v>
      </c>
      <c r="J1" s="1141"/>
      <c r="K1" s="1141"/>
      <c r="L1" s="1141"/>
      <c r="M1" s="1141"/>
      <c r="N1" s="1141"/>
      <c r="O1" s="1141"/>
    </row>
    <row r="2" spans="1:16" ht="18">
      <c r="B2" s="17" t="s">
        <v>42</v>
      </c>
      <c r="C2" s="17"/>
      <c r="D2" s="17"/>
      <c r="E2" s="17"/>
      <c r="F2" s="17"/>
      <c r="G2" s="17"/>
      <c r="H2" s="57"/>
      <c r="I2" s="1142" t="s">
        <v>251</v>
      </c>
      <c r="J2" s="1142"/>
      <c r="K2" s="1142"/>
      <c r="L2" s="1142"/>
      <c r="M2" s="1142"/>
      <c r="N2" s="1142"/>
      <c r="O2" s="1142"/>
    </row>
    <row r="3" spans="1:16" ht="14.25" customHeight="1">
      <c r="B3" s="18"/>
      <c r="C3" s="18"/>
      <c r="D3" s="18"/>
      <c r="E3" s="18"/>
      <c r="F3" s="18"/>
      <c r="G3" s="18"/>
      <c r="H3" s="58"/>
      <c r="I3" s="18"/>
      <c r="J3" s="317"/>
      <c r="K3" s="317"/>
      <c r="L3" s="317"/>
      <c r="M3" s="317"/>
    </row>
    <row r="4" spans="1:16" ht="18">
      <c r="B4" s="1142" t="s">
        <v>249</v>
      </c>
      <c r="C4" s="1142"/>
      <c r="D4" s="1142"/>
      <c r="E4" s="1142"/>
      <c r="F4" s="1142"/>
      <c r="G4" s="1142"/>
      <c r="H4" s="1142"/>
      <c r="I4" s="1142"/>
      <c r="J4" s="1142"/>
      <c r="K4" s="1142"/>
      <c r="L4" s="1142"/>
      <c r="M4" s="1142"/>
      <c r="N4" s="1142"/>
      <c r="O4" s="1142"/>
    </row>
    <row r="5" spans="1:16" ht="18">
      <c r="B5" s="1143" t="s">
        <v>50</v>
      </c>
      <c r="C5" s="1143"/>
      <c r="D5" s="1143"/>
      <c r="E5" s="1143"/>
      <c r="F5" s="1143"/>
      <c r="G5" s="1143"/>
      <c r="H5" s="1143"/>
      <c r="I5" s="1143"/>
      <c r="J5" s="1143"/>
      <c r="K5" s="1143"/>
      <c r="L5" s="1143"/>
      <c r="M5" s="1143"/>
      <c r="N5" s="1143"/>
      <c r="O5" s="1143"/>
    </row>
    <row r="6" spans="1:16" ht="15" customHeight="1">
      <c r="B6" s="1150" t="s">
        <v>51</v>
      </c>
      <c r="C6" s="1134" t="s">
        <v>6</v>
      </c>
      <c r="D6" s="1134" t="s">
        <v>7</v>
      </c>
      <c r="E6" s="1134" t="s">
        <v>52</v>
      </c>
      <c r="F6" s="1136" t="s">
        <v>250</v>
      </c>
      <c r="G6" s="1137"/>
      <c r="H6" s="1137"/>
      <c r="I6" s="1137"/>
      <c r="J6" s="1137"/>
      <c r="K6" s="1137"/>
      <c r="L6" s="1137"/>
      <c r="M6" s="1138"/>
      <c r="N6" s="1148" t="s">
        <v>53</v>
      </c>
      <c r="O6" s="1154" t="s">
        <v>13</v>
      </c>
      <c r="P6" s="15"/>
    </row>
    <row r="7" spans="1:16" ht="15" customHeight="1">
      <c r="B7" s="1151"/>
      <c r="C7" s="1153"/>
      <c r="D7" s="1153"/>
      <c r="E7" s="1153"/>
      <c r="F7" s="1136" t="s">
        <v>302</v>
      </c>
      <c r="G7" s="1137"/>
      <c r="H7" s="1137"/>
      <c r="I7" s="1138"/>
      <c r="J7" s="1136" t="s">
        <v>20</v>
      </c>
      <c r="K7" s="1137"/>
      <c r="L7" s="1137"/>
      <c r="M7" s="1138"/>
      <c r="N7" s="1148"/>
      <c r="O7" s="1154"/>
      <c r="P7" s="15"/>
    </row>
    <row r="8" spans="1:16">
      <c r="B8" s="1151"/>
      <c r="C8" s="1153"/>
      <c r="D8" s="1153"/>
      <c r="E8" s="1153"/>
      <c r="F8" s="1134" t="s">
        <v>54</v>
      </c>
      <c r="G8" s="1134" t="s">
        <v>55</v>
      </c>
      <c r="H8" s="1156" t="s">
        <v>56</v>
      </c>
      <c r="I8" s="1158" t="s">
        <v>57</v>
      </c>
      <c r="J8" s="1134" t="s">
        <v>54</v>
      </c>
      <c r="K8" s="1134" t="s">
        <v>55</v>
      </c>
      <c r="L8" s="1134" t="s">
        <v>56</v>
      </c>
      <c r="M8" s="1139" t="s">
        <v>57</v>
      </c>
      <c r="N8" s="1148"/>
      <c r="O8" s="1154"/>
      <c r="P8" s="15"/>
    </row>
    <row r="9" spans="1:16">
      <c r="B9" s="1152"/>
      <c r="C9" s="1135"/>
      <c r="D9" s="1135"/>
      <c r="E9" s="1135"/>
      <c r="F9" s="1135"/>
      <c r="G9" s="1135"/>
      <c r="H9" s="1157"/>
      <c r="I9" s="1140"/>
      <c r="J9" s="1135"/>
      <c r="K9" s="1135"/>
      <c r="L9" s="1135"/>
      <c r="M9" s="1140"/>
      <c r="N9" s="1149"/>
      <c r="O9" s="1155"/>
      <c r="P9" s="15"/>
    </row>
    <row r="10" spans="1:16" ht="18">
      <c r="B10" s="213" t="s">
        <v>58</v>
      </c>
      <c r="C10" s="213"/>
      <c r="D10" s="213"/>
      <c r="E10" s="213"/>
      <c r="F10" s="213"/>
      <c r="G10" s="213"/>
      <c r="H10" s="213"/>
      <c r="I10" s="213"/>
      <c r="J10" s="214"/>
      <c r="K10" s="214"/>
      <c r="L10" s="214"/>
      <c r="M10" s="214"/>
      <c r="N10" s="215"/>
      <c r="O10" s="216"/>
      <c r="P10" s="25"/>
    </row>
    <row r="11" spans="1:16" ht="18">
      <c r="A11" s="13">
        <v>1</v>
      </c>
      <c r="B11" s="217">
        <v>1</v>
      </c>
      <c r="C11" s="27" t="s">
        <v>59</v>
      </c>
      <c r="D11" s="28">
        <v>29465</v>
      </c>
      <c r="E11" s="29" t="s">
        <v>60</v>
      </c>
      <c r="F11" s="29"/>
      <c r="G11" s="29"/>
      <c r="H11" s="41"/>
      <c r="I11" s="30"/>
      <c r="J11" s="31">
        <v>5</v>
      </c>
      <c r="K11" s="31">
        <v>0</v>
      </c>
      <c r="L11" s="31">
        <v>0.5</v>
      </c>
      <c r="M11" s="42">
        <v>43435</v>
      </c>
      <c r="N11" s="32">
        <v>0.5</v>
      </c>
      <c r="O11" s="76"/>
      <c r="P11" s="25" t="s">
        <v>61</v>
      </c>
    </row>
    <row r="12" spans="1:16" ht="31.5">
      <c r="A12" s="13">
        <v>2</v>
      </c>
      <c r="B12" s="217">
        <v>2</v>
      </c>
      <c r="C12" s="44" t="s">
        <v>63</v>
      </c>
      <c r="D12" s="33" t="s">
        <v>64</v>
      </c>
      <c r="E12" s="29" t="s">
        <v>36</v>
      </c>
      <c r="F12" s="29">
        <v>5</v>
      </c>
      <c r="G12" s="29">
        <v>0</v>
      </c>
      <c r="H12" s="63">
        <v>0.5</v>
      </c>
      <c r="I12" s="30">
        <v>41456</v>
      </c>
      <c r="J12" s="38">
        <v>10</v>
      </c>
      <c r="K12" s="38">
        <v>0</v>
      </c>
      <c r="L12" s="38">
        <v>0.7</v>
      </c>
      <c r="M12" s="69">
        <v>43282</v>
      </c>
      <c r="N12" s="32">
        <v>0.2</v>
      </c>
      <c r="O12" s="79" t="s">
        <v>373</v>
      </c>
      <c r="P12" s="25" t="s">
        <v>61</v>
      </c>
    </row>
    <row r="13" spans="1:16" ht="18">
      <c r="A13" s="13">
        <v>3</v>
      </c>
      <c r="B13" s="217">
        <v>3</v>
      </c>
      <c r="C13" s="412" t="s">
        <v>62</v>
      </c>
      <c r="D13" s="28">
        <v>25221</v>
      </c>
      <c r="E13" s="29" t="s">
        <v>29</v>
      </c>
      <c r="F13" s="413">
        <v>11</v>
      </c>
      <c r="G13" s="413">
        <v>2</v>
      </c>
      <c r="H13" s="414">
        <v>0.7</v>
      </c>
      <c r="I13" s="415">
        <v>40603</v>
      </c>
      <c r="J13" s="416">
        <v>15</v>
      </c>
      <c r="K13" s="416"/>
      <c r="L13" s="416">
        <v>1</v>
      </c>
      <c r="M13" s="417">
        <v>42005</v>
      </c>
      <c r="N13" s="32"/>
      <c r="O13" s="418" t="s">
        <v>376</v>
      </c>
      <c r="P13" s="25"/>
    </row>
    <row r="14" spans="1:16" ht="31.5">
      <c r="B14" s="217">
        <v>4</v>
      </c>
      <c r="C14" s="44" t="s">
        <v>263</v>
      </c>
      <c r="D14" s="28">
        <v>31906</v>
      </c>
      <c r="E14" s="29" t="s">
        <v>38</v>
      </c>
      <c r="F14" s="29">
        <v>5</v>
      </c>
      <c r="G14" s="29">
        <v>0</v>
      </c>
      <c r="H14" s="63">
        <v>0.5</v>
      </c>
      <c r="I14" s="30">
        <v>42522</v>
      </c>
      <c r="J14" s="38"/>
      <c r="K14" s="38"/>
      <c r="L14" s="38"/>
      <c r="M14" s="69"/>
      <c r="N14" s="32"/>
      <c r="O14" s="79" t="s">
        <v>373</v>
      </c>
      <c r="P14" s="25"/>
    </row>
    <row r="15" spans="1:16" ht="18">
      <c r="B15" s="36" t="s">
        <v>66</v>
      </c>
      <c r="C15" s="36"/>
      <c r="D15" s="36"/>
      <c r="E15" s="36"/>
      <c r="F15" s="36"/>
      <c r="G15" s="36"/>
      <c r="H15" s="41"/>
      <c r="I15" s="37"/>
      <c r="J15" s="31"/>
      <c r="K15" s="31"/>
      <c r="L15" s="31"/>
      <c r="M15" s="31"/>
      <c r="N15" s="32"/>
      <c r="O15" s="76"/>
      <c r="P15" s="25"/>
    </row>
    <row r="16" spans="1:16" ht="31.5">
      <c r="A16" s="13">
        <v>4</v>
      </c>
      <c r="B16" s="217">
        <v>1</v>
      </c>
      <c r="C16" s="44" t="s">
        <v>67</v>
      </c>
      <c r="D16" s="28">
        <v>28340</v>
      </c>
      <c r="E16" s="29" t="s">
        <v>60</v>
      </c>
      <c r="F16" s="29">
        <v>5</v>
      </c>
      <c r="G16" s="29">
        <v>0</v>
      </c>
      <c r="H16" s="41">
        <v>0.5</v>
      </c>
      <c r="I16" s="30">
        <v>41579</v>
      </c>
      <c r="J16" s="322">
        <v>10</v>
      </c>
      <c r="K16" s="31">
        <v>0</v>
      </c>
      <c r="L16" s="31">
        <v>0.7</v>
      </c>
      <c r="M16" s="30">
        <v>43405</v>
      </c>
      <c r="N16" s="32">
        <v>0.19999999999999996</v>
      </c>
      <c r="O16" s="79" t="s">
        <v>373</v>
      </c>
      <c r="P16" s="25" t="s">
        <v>61</v>
      </c>
    </row>
    <row r="17" spans="1:16" ht="18">
      <c r="A17" s="13">
        <v>5</v>
      </c>
      <c r="B17" s="217">
        <v>2</v>
      </c>
      <c r="C17" s="27" t="s">
        <v>73</v>
      </c>
      <c r="D17" s="39">
        <v>32462</v>
      </c>
      <c r="E17" s="29" t="s">
        <v>34</v>
      </c>
      <c r="F17" s="29"/>
      <c r="G17" s="29"/>
      <c r="H17" s="41"/>
      <c r="I17" s="30">
        <v>43435</v>
      </c>
      <c r="J17" s="31">
        <v>5</v>
      </c>
      <c r="K17" s="31">
        <v>0</v>
      </c>
      <c r="L17" s="31">
        <v>0.5</v>
      </c>
      <c r="M17" s="30">
        <v>43435</v>
      </c>
      <c r="N17" s="32">
        <v>0.5</v>
      </c>
      <c r="O17" s="76" t="s">
        <v>69</v>
      </c>
      <c r="P17" s="25"/>
    </row>
    <row r="18" spans="1:16" ht="18">
      <c r="A18" s="13">
        <v>6</v>
      </c>
      <c r="B18" s="217">
        <v>3</v>
      </c>
      <c r="C18" s="421" t="s">
        <v>68</v>
      </c>
      <c r="D18" s="39">
        <v>24329</v>
      </c>
      <c r="E18" s="29" t="s">
        <v>29</v>
      </c>
      <c r="F18" s="420">
        <v>9</v>
      </c>
      <c r="G18" s="420"/>
      <c r="H18" s="420">
        <v>0.7</v>
      </c>
      <c r="I18" s="415">
        <v>42005</v>
      </c>
      <c r="J18" s="68">
        <v>15</v>
      </c>
      <c r="K18" s="68"/>
      <c r="L18" s="68">
        <v>1</v>
      </c>
      <c r="M18" s="47">
        <v>43800</v>
      </c>
      <c r="N18" s="32"/>
      <c r="O18" s="418" t="s">
        <v>376</v>
      </c>
      <c r="P18" s="25" t="s">
        <v>301</v>
      </c>
    </row>
    <row r="19" spans="1:16" ht="18">
      <c r="A19" s="13">
        <v>7</v>
      </c>
      <c r="B19" s="217">
        <v>4</v>
      </c>
      <c r="C19" s="421" t="s">
        <v>70</v>
      </c>
      <c r="D19" s="39">
        <v>24111</v>
      </c>
      <c r="E19" s="29" t="s">
        <v>29</v>
      </c>
      <c r="F19" s="420">
        <v>10</v>
      </c>
      <c r="G19" s="420"/>
      <c r="H19" s="420">
        <v>0.7</v>
      </c>
      <c r="I19" s="415">
        <v>42005</v>
      </c>
      <c r="J19" s="31">
        <v>15</v>
      </c>
      <c r="K19" s="31"/>
      <c r="L19" s="31">
        <v>1</v>
      </c>
      <c r="M19" s="30">
        <v>43800</v>
      </c>
      <c r="N19" s="32"/>
      <c r="O19" s="418" t="s">
        <v>376</v>
      </c>
      <c r="P19" s="25" t="s">
        <v>301</v>
      </c>
    </row>
    <row r="20" spans="1:16" ht="18">
      <c r="A20" s="13">
        <v>8</v>
      </c>
      <c r="B20" s="217">
        <v>5</v>
      </c>
      <c r="C20" s="412" t="s">
        <v>72</v>
      </c>
      <c r="D20" s="39">
        <v>24347</v>
      </c>
      <c r="E20" s="29" t="s">
        <v>38</v>
      </c>
      <c r="F20" s="420">
        <v>10</v>
      </c>
      <c r="G20" s="420"/>
      <c r="H20" s="420">
        <v>0.7</v>
      </c>
      <c r="I20" s="415">
        <v>42826</v>
      </c>
      <c r="J20" s="31"/>
      <c r="K20" s="31"/>
      <c r="L20" s="31"/>
      <c r="M20" s="30"/>
      <c r="N20" s="32"/>
      <c r="O20" s="418" t="s">
        <v>376</v>
      </c>
      <c r="P20" s="25"/>
    </row>
    <row r="21" spans="1:16" ht="31.5">
      <c r="A21" s="13">
        <v>9</v>
      </c>
      <c r="B21" s="217">
        <v>6</v>
      </c>
      <c r="C21" s="419" t="s">
        <v>71</v>
      </c>
      <c r="D21" s="39">
        <v>25721</v>
      </c>
      <c r="E21" s="29" t="s">
        <v>36</v>
      </c>
      <c r="F21" s="68">
        <v>7</v>
      </c>
      <c r="G21" s="68">
        <v>2</v>
      </c>
      <c r="H21" s="68">
        <v>0.5</v>
      </c>
      <c r="I21" s="47">
        <v>41730</v>
      </c>
      <c r="J21" s="420">
        <v>10</v>
      </c>
      <c r="K21" s="420">
        <v>0</v>
      </c>
      <c r="L21" s="420">
        <v>0.7</v>
      </c>
      <c r="M21" s="415">
        <v>43497</v>
      </c>
      <c r="N21" s="32"/>
      <c r="O21" s="79" t="s">
        <v>373</v>
      </c>
      <c r="P21" s="418" t="s">
        <v>376</v>
      </c>
    </row>
    <row r="22" spans="1:16" ht="18">
      <c r="B22" s="36" t="s">
        <v>74</v>
      </c>
      <c r="C22" s="36"/>
      <c r="D22" s="36" t="s">
        <v>475</v>
      </c>
      <c r="E22" s="36"/>
      <c r="F22" s="36"/>
      <c r="G22" s="36"/>
      <c r="H22" s="41"/>
      <c r="I22" s="37"/>
      <c r="J22" s="31"/>
      <c r="K22" s="31"/>
      <c r="L22" s="31"/>
      <c r="M22" s="31"/>
      <c r="N22" s="32"/>
      <c r="O22" s="76"/>
      <c r="P22" s="25"/>
    </row>
    <row r="23" spans="1:16" s="142" customFormat="1" ht="18">
      <c r="B23" s="217">
        <v>1</v>
      </c>
      <c r="C23" s="397" t="s">
        <v>75</v>
      </c>
      <c r="D23" s="395">
        <v>24024</v>
      </c>
      <c r="E23" s="29" t="s">
        <v>29</v>
      </c>
      <c r="F23" s="321">
        <v>5</v>
      </c>
      <c r="G23" s="321">
        <v>0</v>
      </c>
      <c r="H23" s="41">
        <v>0.5</v>
      </c>
      <c r="I23" s="395">
        <v>41821</v>
      </c>
      <c r="J23" s="31"/>
      <c r="K23" s="31"/>
      <c r="L23" s="31"/>
      <c r="M23" s="31"/>
      <c r="N23" s="32"/>
      <c r="O23" s="76"/>
      <c r="P23" s="25"/>
    </row>
    <row r="24" spans="1:16" s="142" customFormat="1" ht="18">
      <c r="B24" s="217">
        <v>2</v>
      </c>
      <c r="C24" s="397" t="s">
        <v>77</v>
      </c>
      <c r="D24" s="395">
        <v>28073</v>
      </c>
      <c r="E24" s="321"/>
      <c r="F24" s="321">
        <v>5</v>
      </c>
      <c r="G24" s="321">
        <v>0</v>
      </c>
      <c r="H24" s="41">
        <v>0.5</v>
      </c>
      <c r="I24" s="395">
        <v>42461</v>
      </c>
      <c r="J24" s="31"/>
      <c r="K24" s="31"/>
      <c r="L24" s="31"/>
      <c r="M24" s="31"/>
      <c r="N24" s="32"/>
      <c r="O24" s="76"/>
      <c r="P24" s="25"/>
    </row>
    <row r="25" spans="1:16" ht="18">
      <c r="A25" s="13">
        <v>10</v>
      </c>
      <c r="B25" s="217">
        <v>3</v>
      </c>
      <c r="C25" s="27" t="s">
        <v>78</v>
      </c>
      <c r="D25" s="33" t="s">
        <v>79</v>
      </c>
      <c r="E25" s="29" t="s">
        <v>29</v>
      </c>
      <c r="F25" s="29">
        <v>8</v>
      </c>
      <c r="G25" s="29">
        <v>0</v>
      </c>
      <c r="H25" s="61">
        <v>0.5</v>
      </c>
      <c r="I25" s="30">
        <v>42248</v>
      </c>
      <c r="J25" s="31">
        <v>10</v>
      </c>
      <c r="K25" s="31">
        <v>0</v>
      </c>
      <c r="L25" s="31">
        <v>0.7</v>
      </c>
      <c r="M25" s="42">
        <v>42979</v>
      </c>
      <c r="N25" s="32">
        <v>0.2</v>
      </c>
      <c r="O25" s="79"/>
      <c r="P25" s="25"/>
    </row>
    <row r="26" spans="1:16" ht="18">
      <c r="A26" s="13">
        <v>11</v>
      </c>
      <c r="B26" s="217">
        <v>4</v>
      </c>
      <c r="C26" s="27" t="s">
        <v>80</v>
      </c>
      <c r="D26" s="28">
        <v>31992</v>
      </c>
      <c r="E26" s="29" t="s">
        <v>29</v>
      </c>
      <c r="F26" s="32"/>
      <c r="G26" s="32"/>
      <c r="H26" s="32"/>
      <c r="I26" s="32"/>
      <c r="J26" s="29">
        <v>5</v>
      </c>
      <c r="K26" s="29">
        <v>0</v>
      </c>
      <c r="L26" s="61">
        <v>0.5</v>
      </c>
      <c r="M26" s="30">
        <v>43617</v>
      </c>
      <c r="N26" s="32">
        <v>0.5</v>
      </c>
      <c r="O26" s="76" t="s">
        <v>256</v>
      </c>
      <c r="P26" s="25"/>
    </row>
    <row r="27" spans="1:16" ht="31.5">
      <c r="A27" s="13">
        <v>12</v>
      </c>
      <c r="B27" s="217">
        <v>5</v>
      </c>
      <c r="C27" s="27" t="s">
        <v>81</v>
      </c>
      <c r="D27" s="28">
        <v>27921</v>
      </c>
      <c r="E27" s="29" t="s">
        <v>36</v>
      </c>
      <c r="F27" s="29">
        <v>10</v>
      </c>
      <c r="G27" s="29">
        <v>0</v>
      </c>
      <c r="H27" s="41">
        <v>0.7</v>
      </c>
      <c r="I27" s="30">
        <v>41640</v>
      </c>
      <c r="J27" s="31">
        <v>15</v>
      </c>
      <c r="K27" s="31">
        <v>0</v>
      </c>
      <c r="L27" s="31">
        <v>1</v>
      </c>
      <c r="M27" s="42">
        <v>43466</v>
      </c>
      <c r="N27" s="32">
        <v>0.3</v>
      </c>
      <c r="O27" s="79" t="s">
        <v>373</v>
      </c>
      <c r="P27" s="25" t="s">
        <v>61</v>
      </c>
    </row>
    <row r="28" spans="1:16" ht="18">
      <c r="A28" s="13">
        <v>13</v>
      </c>
      <c r="B28" s="217">
        <v>6</v>
      </c>
      <c r="C28" s="419" t="s">
        <v>76</v>
      </c>
      <c r="D28" s="28">
        <v>26567</v>
      </c>
      <c r="E28" s="29" t="s">
        <v>29</v>
      </c>
      <c r="F28" s="420">
        <v>10</v>
      </c>
      <c r="G28" s="420">
        <v>0</v>
      </c>
      <c r="H28" s="420">
        <v>0.7</v>
      </c>
      <c r="I28" s="422">
        <v>41913</v>
      </c>
      <c r="J28" s="31">
        <v>15</v>
      </c>
      <c r="K28" s="31"/>
      <c r="L28" s="31">
        <v>0.7</v>
      </c>
      <c r="M28" s="42">
        <v>43739</v>
      </c>
      <c r="N28" s="32"/>
      <c r="O28" s="418" t="s">
        <v>376</v>
      </c>
      <c r="P28" s="25" t="s">
        <v>301</v>
      </c>
    </row>
    <row r="29" spans="1:16" ht="18">
      <c r="A29" s="13">
        <v>14</v>
      </c>
      <c r="B29" s="217">
        <v>7</v>
      </c>
      <c r="C29" s="412" t="s">
        <v>78</v>
      </c>
      <c r="D29" s="28">
        <v>27933</v>
      </c>
      <c r="E29" s="29" t="s">
        <v>29</v>
      </c>
      <c r="F29" s="420">
        <v>8</v>
      </c>
      <c r="G29" s="420"/>
      <c r="H29" s="420">
        <v>0.5</v>
      </c>
      <c r="I29" s="422">
        <v>42248</v>
      </c>
      <c r="J29" s="31">
        <v>10</v>
      </c>
      <c r="K29" s="31"/>
      <c r="L29" s="31">
        <v>0.7</v>
      </c>
      <c r="M29" s="42">
        <v>42979</v>
      </c>
      <c r="N29" s="32">
        <v>0.3</v>
      </c>
      <c r="O29" s="418" t="s">
        <v>376</v>
      </c>
      <c r="P29" s="25" t="s">
        <v>377</v>
      </c>
    </row>
    <row r="30" spans="1:16" ht="18">
      <c r="B30" s="36" t="s">
        <v>82</v>
      </c>
      <c r="C30" s="36"/>
      <c r="D30" s="36"/>
      <c r="E30" s="36"/>
      <c r="F30" s="36"/>
      <c r="G30" s="36"/>
      <c r="H30" s="41"/>
      <c r="I30" s="37"/>
      <c r="J30" s="31"/>
      <c r="K30" s="31"/>
      <c r="L30" s="31"/>
      <c r="M30" s="31"/>
      <c r="N30" s="32"/>
      <c r="O30" s="76"/>
      <c r="P30" s="25"/>
    </row>
    <row r="31" spans="1:16" s="142" customFormat="1" ht="31.5">
      <c r="B31" s="321"/>
      <c r="C31" s="321" t="s">
        <v>83</v>
      </c>
      <c r="D31" s="395">
        <v>23678</v>
      </c>
      <c r="E31" s="29" t="s">
        <v>60</v>
      </c>
      <c r="F31" s="403">
        <v>10</v>
      </c>
      <c r="G31" s="403">
        <v>0</v>
      </c>
      <c r="H31" s="404">
        <v>0.7</v>
      </c>
      <c r="I31" s="405">
        <v>41334</v>
      </c>
      <c r="J31" s="31"/>
      <c r="K31" s="31"/>
      <c r="L31" s="31"/>
      <c r="M31" s="31"/>
      <c r="N31" s="32"/>
      <c r="O31" s="402" t="s">
        <v>375</v>
      </c>
      <c r="P31" s="25" t="s">
        <v>459</v>
      </c>
    </row>
    <row r="32" spans="1:16" ht="18">
      <c r="A32" s="13">
        <v>15</v>
      </c>
      <c r="B32" s="217">
        <v>2</v>
      </c>
      <c r="C32" s="27" t="s">
        <v>84</v>
      </c>
      <c r="D32" s="28">
        <v>33886</v>
      </c>
      <c r="E32" s="29" t="s">
        <v>29</v>
      </c>
      <c r="F32" s="29"/>
      <c r="G32" s="29"/>
      <c r="H32" s="41"/>
      <c r="I32" s="30"/>
      <c r="J32" s="31"/>
      <c r="K32" s="31"/>
      <c r="L32" s="31"/>
      <c r="M32" s="31"/>
      <c r="N32" s="32"/>
      <c r="O32" s="76" t="s">
        <v>256</v>
      </c>
      <c r="P32" s="25"/>
    </row>
    <row r="33" spans="1:17" ht="31.5">
      <c r="A33" s="13">
        <v>16</v>
      </c>
      <c r="B33" s="217">
        <v>3</v>
      </c>
      <c r="C33" s="44" t="s">
        <v>85</v>
      </c>
      <c r="D33" s="28">
        <v>29445</v>
      </c>
      <c r="E33" s="29" t="s">
        <v>36</v>
      </c>
      <c r="F33" s="29">
        <v>5</v>
      </c>
      <c r="G33" s="29">
        <v>0</v>
      </c>
      <c r="H33" s="41">
        <v>0.5</v>
      </c>
      <c r="I33" s="30">
        <v>41579</v>
      </c>
      <c r="J33" s="322">
        <v>10</v>
      </c>
      <c r="K33" s="31">
        <v>0</v>
      </c>
      <c r="L33" s="31">
        <v>0.7</v>
      </c>
      <c r="M33" s="30">
        <v>43405</v>
      </c>
      <c r="N33" s="32">
        <v>0.19999999999999996</v>
      </c>
      <c r="O33" s="79" t="s">
        <v>373</v>
      </c>
      <c r="P33" s="25" t="s">
        <v>61</v>
      </c>
    </row>
    <row r="34" spans="1:17" ht="31.5">
      <c r="A34" s="13">
        <v>17</v>
      </c>
      <c r="B34" s="217">
        <v>4</v>
      </c>
      <c r="C34" s="44" t="s">
        <v>86</v>
      </c>
      <c r="D34" s="28">
        <v>30477</v>
      </c>
      <c r="E34" s="29" t="s">
        <v>29</v>
      </c>
      <c r="F34" s="29">
        <v>5</v>
      </c>
      <c r="G34" s="29">
        <v>0</v>
      </c>
      <c r="H34" s="41">
        <v>0.5</v>
      </c>
      <c r="I34" s="30">
        <v>41456</v>
      </c>
      <c r="J34" s="31">
        <v>10</v>
      </c>
      <c r="K34" s="31">
        <v>0</v>
      </c>
      <c r="L34" s="31">
        <v>0.7</v>
      </c>
      <c r="M34" s="42">
        <v>43282</v>
      </c>
      <c r="N34" s="32">
        <v>0.19999999999999996</v>
      </c>
      <c r="O34" s="79" t="s">
        <v>373</v>
      </c>
      <c r="P34" s="25"/>
    </row>
    <row r="35" spans="1:17" ht="31.5">
      <c r="A35" s="13">
        <v>18</v>
      </c>
      <c r="B35" s="217">
        <v>5</v>
      </c>
      <c r="C35" s="44" t="s">
        <v>87</v>
      </c>
      <c r="D35" s="28">
        <v>30380</v>
      </c>
      <c r="E35" s="29" t="s">
        <v>34</v>
      </c>
      <c r="F35" s="29">
        <v>5</v>
      </c>
      <c r="G35" s="29">
        <v>0</v>
      </c>
      <c r="H35" s="41">
        <v>0.5</v>
      </c>
      <c r="I35" s="30">
        <v>41456</v>
      </c>
      <c r="J35" s="31">
        <v>10</v>
      </c>
      <c r="K35" s="31">
        <v>0</v>
      </c>
      <c r="L35" s="31">
        <v>0.7</v>
      </c>
      <c r="M35" s="42">
        <v>43282</v>
      </c>
      <c r="N35" s="32">
        <v>0.19999999999999996</v>
      </c>
      <c r="O35" s="79" t="s">
        <v>373</v>
      </c>
      <c r="P35" s="25"/>
    </row>
    <row r="36" spans="1:17" ht="18">
      <c r="B36" s="26">
        <v>6</v>
      </c>
      <c r="C36" s="27" t="s">
        <v>88</v>
      </c>
      <c r="D36" s="28"/>
      <c r="E36" s="29" t="s">
        <v>38</v>
      </c>
      <c r="F36" s="29"/>
      <c r="G36" s="29"/>
      <c r="H36" s="41"/>
      <c r="I36" s="30">
        <v>43556</v>
      </c>
      <c r="J36" s="31"/>
      <c r="K36" s="31"/>
      <c r="L36" s="31"/>
      <c r="M36" s="42"/>
      <c r="N36" s="32"/>
      <c r="O36" s="76"/>
      <c r="P36" s="25" t="s">
        <v>89</v>
      </c>
    </row>
    <row r="37" spans="1:17" ht="18">
      <c r="B37" s="26">
        <v>22</v>
      </c>
      <c r="C37" s="412" t="s">
        <v>146</v>
      </c>
      <c r="D37" s="28">
        <v>23204</v>
      </c>
      <c r="E37" s="29" t="s">
        <v>38</v>
      </c>
      <c r="F37" s="413">
        <v>15</v>
      </c>
      <c r="G37" s="413">
        <v>0</v>
      </c>
      <c r="H37" s="423">
        <v>1</v>
      </c>
      <c r="I37" s="415">
        <v>42917</v>
      </c>
      <c r="J37" s="31"/>
      <c r="K37" s="31"/>
      <c r="L37" s="31"/>
      <c r="M37" s="31"/>
      <c r="N37" s="32"/>
      <c r="O37" s="418" t="s">
        <v>376</v>
      </c>
    </row>
    <row r="38" spans="1:17" ht="18">
      <c r="A38" s="186"/>
      <c r="B38" s="35" t="s">
        <v>99</v>
      </c>
      <c r="C38" s="36"/>
      <c r="D38" s="33"/>
      <c r="E38" s="34"/>
      <c r="F38" s="34"/>
      <c r="G38" s="34"/>
      <c r="H38" s="41"/>
      <c r="I38" s="28"/>
      <c r="J38" s="31"/>
      <c r="K38" s="31"/>
      <c r="L38" s="31"/>
      <c r="M38" s="31"/>
      <c r="N38" s="32"/>
      <c r="O38" s="76"/>
      <c r="P38" s="25"/>
    </row>
    <row r="39" spans="1:17" ht="31.5">
      <c r="B39" s="26">
        <v>1</v>
      </c>
      <c r="C39" s="406" t="s">
        <v>100</v>
      </c>
      <c r="D39" s="33" t="s">
        <v>101</v>
      </c>
      <c r="E39" s="29" t="s">
        <v>60</v>
      </c>
      <c r="F39" s="407">
        <v>5</v>
      </c>
      <c r="G39" s="407">
        <v>0</v>
      </c>
      <c r="H39" s="411">
        <v>0.5</v>
      </c>
      <c r="I39" s="408">
        <v>42614</v>
      </c>
      <c r="J39" s="38"/>
      <c r="K39" s="38"/>
      <c r="L39" s="38"/>
      <c r="M39" s="38"/>
      <c r="N39" s="32"/>
      <c r="O39" s="402" t="s">
        <v>375</v>
      </c>
      <c r="P39" s="25" t="s">
        <v>460</v>
      </c>
    </row>
    <row r="40" spans="1:17" ht="18.75" customHeight="1">
      <c r="B40" s="26">
        <v>2</v>
      </c>
      <c r="C40" s="44" t="s">
        <v>102</v>
      </c>
      <c r="D40" s="33" t="s">
        <v>103</v>
      </c>
      <c r="E40" s="29" t="s">
        <v>29</v>
      </c>
      <c r="F40" s="46">
        <v>6</v>
      </c>
      <c r="G40" s="46">
        <v>5</v>
      </c>
      <c r="H40" s="61">
        <v>0.5</v>
      </c>
      <c r="I40" s="47">
        <v>41640</v>
      </c>
      <c r="J40" s="31"/>
      <c r="K40" s="31"/>
      <c r="L40" s="31"/>
      <c r="M40" s="409">
        <v>2018</v>
      </c>
      <c r="N40" s="32"/>
      <c r="O40" s="79" t="s">
        <v>373</v>
      </c>
      <c r="P40" s="1144" t="s">
        <v>375</v>
      </c>
      <c r="Q40" s="1145"/>
    </row>
    <row r="41" spans="1:17" ht="31.5">
      <c r="A41" s="186"/>
      <c r="B41" s="26">
        <v>3</v>
      </c>
      <c r="C41" s="44" t="s">
        <v>105</v>
      </c>
      <c r="D41" s="72" t="s">
        <v>106</v>
      </c>
      <c r="E41" s="46" t="s">
        <v>36</v>
      </c>
      <c r="F41" s="46">
        <v>10</v>
      </c>
      <c r="G41" s="46">
        <v>0</v>
      </c>
      <c r="H41" s="61">
        <v>0.7</v>
      </c>
      <c r="I41" s="47">
        <v>41640</v>
      </c>
      <c r="J41" s="68">
        <v>15</v>
      </c>
      <c r="K41" s="68">
        <v>0</v>
      </c>
      <c r="L41" s="68">
        <v>1</v>
      </c>
      <c r="M41" s="40">
        <v>43466</v>
      </c>
      <c r="N41" s="70"/>
      <c r="O41" s="79" t="s">
        <v>373</v>
      </c>
      <c r="P41" s="71" t="s">
        <v>61</v>
      </c>
    </row>
    <row r="42" spans="1:17" ht="18">
      <c r="A42" s="186"/>
      <c r="B42" s="26">
        <v>4</v>
      </c>
      <c r="C42" s="27" t="s">
        <v>104</v>
      </c>
      <c r="D42" s="28">
        <v>34505</v>
      </c>
      <c r="E42" s="34" t="s">
        <v>29</v>
      </c>
      <c r="F42" s="34"/>
      <c r="G42" s="34"/>
      <c r="H42" s="41"/>
      <c r="I42" s="28"/>
      <c r="J42" s="31"/>
      <c r="K42" s="31"/>
      <c r="L42" s="31"/>
      <c r="M42" s="31"/>
      <c r="N42" s="32"/>
      <c r="O42" s="76"/>
      <c r="P42" s="25"/>
    </row>
    <row r="43" spans="1:17" ht="18">
      <c r="A43" s="186"/>
      <c r="B43" s="26">
        <v>5</v>
      </c>
      <c r="C43" s="27"/>
      <c r="D43" s="28"/>
      <c r="E43" s="34"/>
      <c r="F43" s="34"/>
      <c r="G43" s="34"/>
      <c r="H43" s="41"/>
      <c r="I43" s="28"/>
      <c r="J43" s="31"/>
      <c r="K43" s="31"/>
      <c r="L43" s="31"/>
      <c r="M43" s="31"/>
      <c r="N43" s="32"/>
      <c r="O43" s="76"/>
      <c r="P43" s="25"/>
    </row>
    <row r="44" spans="1:17" ht="18">
      <c r="B44" s="36" t="s">
        <v>90</v>
      </c>
      <c r="C44" s="36"/>
      <c r="D44" s="36"/>
      <c r="E44" s="29" t="s">
        <v>69</v>
      </c>
      <c r="F44" s="36"/>
      <c r="G44" s="36"/>
      <c r="H44" s="63"/>
      <c r="I44" s="37"/>
      <c r="J44" s="38"/>
      <c r="K44" s="38"/>
      <c r="L44" s="38"/>
      <c r="M44" s="38"/>
      <c r="N44" s="32"/>
      <c r="O44" s="78"/>
      <c r="P44" s="25"/>
    </row>
    <row r="45" spans="1:17" ht="31.5">
      <c r="A45" s="13">
        <v>19</v>
      </c>
      <c r="B45" s="217">
        <v>1</v>
      </c>
      <c r="C45" s="419" t="s">
        <v>91</v>
      </c>
      <c r="D45" s="28">
        <v>25339</v>
      </c>
      <c r="E45" s="29" t="s">
        <v>29</v>
      </c>
      <c r="F45" s="31">
        <v>10</v>
      </c>
      <c r="G45" s="31"/>
      <c r="H45" s="31">
        <v>0.7</v>
      </c>
      <c r="I45" s="42">
        <v>42461</v>
      </c>
      <c r="J45" s="413">
        <v>10</v>
      </c>
      <c r="K45" s="413">
        <v>0</v>
      </c>
      <c r="L45" s="424">
        <v>0.7</v>
      </c>
      <c r="M45" s="415">
        <v>42461</v>
      </c>
      <c r="N45" s="32"/>
      <c r="O45" s="79" t="s">
        <v>373</v>
      </c>
      <c r="P45" s="418" t="s">
        <v>376</v>
      </c>
    </row>
    <row r="46" spans="1:17" ht="31.5">
      <c r="B46" s="217"/>
      <c r="C46" s="44" t="s">
        <v>92</v>
      </c>
      <c r="D46" s="28">
        <v>24847</v>
      </c>
      <c r="E46" s="29" t="s">
        <v>29</v>
      </c>
      <c r="F46" s="409">
        <v>10</v>
      </c>
      <c r="G46" s="409">
        <v>0</v>
      </c>
      <c r="H46" s="409">
        <v>0.7</v>
      </c>
      <c r="I46" s="410">
        <v>41030</v>
      </c>
      <c r="J46" s="407">
        <v>15</v>
      </c>
      <c r="K46" s="407">
        <v>0</v>
      </c>
      <c r="L46" s="404">
        <v>1</v>
      </c>
      <c r="M46" s="408">
        <v>42856</v>
      </c>
      <c r="N46" s="32"/>
      <c r="O46" s="402" t="s">
        <v>375</v>
      </c>
      <c r="P46" s="25"/>
    </row>
    <row r="47" spans="1:17" ht="18">
      <c r="A47" s="13">
        <v>20</v>
      </c>
      <c r="B47" s="217">
        <v>2</v>
      </c>
      <c r="C47" s="44" t="s">
        <v>97</v>
      </c>
      <c r="D47" s="28">
        <v>26384</v>
      </c>
      <c r="E47" s="29" t="s">
        <v>36</v>
      </c>
      <c r="F47" s="31">
        <v>15</v>
      </c>
      <c r="G47" s="31"/>
      <c r="H47" s="31">
        <v>1</v>
      </c>
      <c r="I47" s="42">
        <v>42979</v>
      </c>
      <c r="J47" s="31"/>
      <c r="K47" s="31"/>
      <c r="L47" s="31"/>
      <c r="M47" s="42"/>
      <c r="N47" s="32"/>
      <c r="O47" s="76"/>
      <c r="P47" s="25"/>
    </row>
    <row r="48" spans="1:17" ht="31.5">
      <c r="B48" s="26">
        <v>9</v>
      </c>
      <c r="C48" s="406" t="s">
        <v>95</v>
      </c>
      <c r="D48" s="28" t="s">
        <v>96</v>
      </c>
      <c r="E48" s="29" t="s">
        <v>34</v>
      </c>
      <c r="F48" s="407">
        <v>5</v>
      </c>
      <c r="G48" s="407">
        <v>0</v>
      </c>
      <c r="H48" s="411">
        <v>0.5</v>
      </c>
      <c r="I48" s="408">
        <v>42826</v>
      </c>
      <c r="J48" s="38"/>
      <c r="K48" s="38"/>
      <c r="L48" s="38"/>
      <c r="M48" s="38"/>
      <c r="N48" s="32"/>
      <c r="O48" s="402" t="s">
        <v>375</v>
      </c>
      <c r="P48" s="25"/>
    </row>
    <row r="49" spans="1:16" ht="31.5">
      <c r="B49" s="26">
        <v>3</v>
      </c>
      <c r="C49" s="44" t="s">
        <v>93</v>
      </c>
      <c r="D49" s="33" t="s">
        <v>94</v>
      </c>
      <c r="E49" s="29" t="s">
        <v>38</v>
      </c>
      <c r="F49" s="29">
        <v>5</v>
      </c>
      <c r="G49" s="29">
        <v>0</v>
      </c>
      <c r="H49" s="41">
        <v>0.5</v>
      </c>
      <c r="I49" s="30">
        <v>42583</v>
      </c>
      <c r="J49" s="31"/>
      <c r="K49" s="31" t="s">
        <v>69</v>
      </c>
      <c r="L49" s="31"/>
      <c r="M49" s="31"/>
      <c r="N49" s="32"/>
      <c r="O49" s="79" t="s">
        <v>373</v>
      </c>
      <c r="P49" s="25"/>
    </row>
    <row r="50" spans="1:16" ht="18">
      <c r="B50" s="43">
        <v>6</v>
      </c>
      <c r="C50" s="44" t="s">
        <v>98</v>
      </c>
      <c r="D50" s="72"/>
      <c r="E50" s="46" t="s">
        <v>31</v>
      </c>
      <c r="F50" s="46"/>
      <c r="G50" s="46"/>
      <c r="H50" s="60"/>
      <c r="I50" s="30">
        <v>43556</v>
      </c>
      <c r="J50" s="68"/>
      <c r="K50" s="68"/>
      <c r="L50" s="68"/>
      <c r="M50" s="68"/>
      <c r="N50" s="70"/>
      <c r="O50" s="77"/>
      <c r="P50" s="71" t="s">
        <v>89</v>
      </c>
    </row>
    <row r="51" spans="1:16" ht="18">
      <c r="B51" s="36" t="s">
        <v>108</v>
      </c>
      <c r="C51" s="36"/>
      <c r="D51" s="36"/>
      <c r="E51" s="36"/>
      <c r="F51" s="36"/>
      <c r="G51" s="36"/>
      <c r="H51" s="63"/>
      <c r="I51" s="37"/>
      <c r="J51" s="38"/>
      <c r="K51" s="38"/>
      <c r="L51" s="38"/>
      <c r="M51" s="38"/>
      <c r="N51" s="32"/>
      <c r="O51" s="78"/>
      <c r="P51" s="25"/>
    </row>
    <row r="52" spans="1:16" ht="31.5">
      <c r="A52" s="13">
        <v>21</v>
      </c>
      <c r="B52" s="217">
        <v>1</v>
      </c>
      <c r="C52" s="406" t="s">
        <v>109</v>
      </c>
      <c r="D52" s="33" t="s">
        <v>110</v>
      </c>
      <c r="E52" s="29" t="s">
        <v>60</v>
      </c>
      <c r="F52" s="407">
        <v>5</v>
      </c>
      <c r="G52" s="407">
        <v>0</v>
      </c>
      <c r="H52" s="411">
        <v>0.5</v>
      </c>
      <c r="I52" s="408">
        <v>42614</v>
      </c>
      <c r="J52" s="38"/>
      <c r="K52" s="38"/>
      <c r="L52" s="38"/>
      <c r="M52" s="38"/>
      <c r="N52" s="70">
        <v>0.2</v>
      </c>
      <c r="O52" s="402" t="s">
        <v>375</v>
      </c>
      <c r="P52" s="25"/>
    </row>
    <row r="53" spans="1:16" ht="31.5">
      <c r="A53" s="13">
        <v>22</v>
      </c>
      <c r="B53" s="217">
        <v>2</v>
      </c>
      <c r="C53" s="44" t="s">
        <v>111</v>
      </c>
      <c r="D53" s="33" t="s">
        <v>112</v>
      </c>
      <c r="E53" s="29" t="s">
        <v>38</v>
      </c>
      <c r="F53" s="29">
        <v>5</v>
      </c>
      <c r="G53" s="29">
        <v>0</v>
      </c>
      <c r="H53" s="63">
        <v>0.5</v>
      </c>
      <c r="I53" s="30">
        <v>41456</v>
      </c>
      <c r="J53" s="38">
        <v>10</v>
      </c>
      <c r="K53" s="38">
        <v>0</v>
      </c>
      <c r="L53" s="428">
        <v>0.7</v>
      </c>
      <c r="M53" s="69">
        <v>43282</v>
      </c>
      <c r="N53" s="32">
        <v>0.2</v>
      </c>
      <c r="O53" s="79" t="s">
        <v>373</v>
      </c>
      <c r="P53" s="25"/>
    </row>
    <row r="54" spans="1:16" ht="18">
      <c r="A54" s="13">
        <v>23</v>
      </c>
      <c r="B54" s="217">
        <v>3</v>
      </c>
      <c r="C54" s="412" t="s">
        <v>299</v>
      </c>
      <c r="D54" s="28">
        <v>26105</v>
      </c>
      <c r="E54" s="29" t="s">
        <v>29</v>
      </c>
      <c r="F54" s="413">
        <v>11</v>
      </c>
      <c r="G54" s="413">
        <v>2</v>
      </c>
      <c r="H54" s="414">
        <v>0.7</v>
      </c>
      <c r="I54" s="425">
        <v>40603</v>
      </c>
      <c r="J54" s="416">
        <v>15</v>
      </c>
      <c r="K54" s="416">
        <v>0</v>
      </c>
      <c r="L54" s="426">
        <v>1</v>
      </c>
      <c r="M54" s="417">
        <v>42005</v>
      </c>
      <c r="N54" s="32"/>
      <c r="O54" s="418" t="s">
        <v>376</v>
      </c>
      <c r="P54" s="25"/>
    </row>
    <row r="55" spans="1:16" ht="18">
      <c r="A55" s="13">
        <v>24</v>
      </c>
      <c r="B55" s="217">
        <v>4</v>
      </c>
      <c r="C55" s="421" t="s">
        <v>152</v>
      </c>
      <c r="D55" s="28">
        <v>29744</v>
      </c>
      <c r="E55" s="29" t="s">
        <v>34</v>
      </c>
      <c r="F55" s="38">
        <v>5</v>
      </c>
      <c r="G55" s="38">
        <v>0</v>
      </c>
      <c r="H55" s="396">
        <v>0.5</v>
      </c>
      <c r="I55" s="430">
        <v>41244</v>
      </c>
      <c r="J55" s="38"/>
      <c r="K55" s="38"/>
      <c r="L55" s="32">
        <v>0.7</v>
      </c>
      <c r="M55" s="69">
        <v>43070</v>
      </c>
      <c r="N55" s="32"/>
      <c r="O55" s="418" t="s">
        <v>376</v>
      </c>
      <c r="P55" s="25"/>
    </row>
    <row r="56" spans="1:16" ht="31.5">
      <c r="B56" s="217">
        <v>5</v>
      </c>
      <c r="C56" s="44" t="s">
        <v>114</v>
      </c>
      <c r="D56" s="28">
        <v>26271</v>
      </c>
      <c r="E56" s="29" t="s">
        <v>36</v>
      </c>
      <c r="F56" s="400">
        <v>11</v>
      </c>
      <c r="G56" s="400">
        <v>7</v>
      </c>
      <c r="H56" s="401">
        <v>0.7</v>
      </c>
      <c r="I56" s="431">
        <v>40603</v>
      </c>
      <c r="J56" s="398">
        <v>15</v>
      </c>
      <c r="K56" s="398">
        <v>0</v>
      </c>
      <c r="L56" s="399">
        <v>1</v>
      </c>
      <c r="M56" s="69">
        <v>42005</v>
      </c>
      <c r="N56" s="32"/>
      <c r="O56" s="402" t="s">
        <v>375</v>
      </c>
      <c r="P56" s="25"/>
    </row>
    <row r="57" spans="1:16" ht="18">
      <c r="B57" s="36" t="s">
        <v>26</v>
      </c>
      <c r="C57" s="36"/>
      <c r="D57" s="36"/>
      <c r="E57" s="36"/>
      <c r="F57" s="36"/>
      <c r="G57" s="36"/>
      <c r="H57" s="63"/>
      <c r="I57" s="37"/>
      <c r="M57" s="38"/>
      <c r="N57" s="32"/>
      <c r="O57" s="78"/>
      <c r="P57" s="25"/>
    </row>
    <row r="58" spans="1:16" s="142" customFormat="1" ht="18">
      <c r="A58" s="13">
        <v>25</v>
      </c>
      <c r="B58" s="217">
        <v>1</v>
      </c>
      <c r="C58" s="429" t="s">
        <v>27</v>
      </c>
      <c r="D58" s="320">
        <v>24101</v>
      </c>
      <c r="E58" s="29" t="s">
        <v>29</v>
      </c>
      <c r="F58" s="319">
        <v>11</v>
      </c>
      <c r="G58" s="319">
        <v>2</v>
      </c>
      <c r="H58" s="63">
        <v>0.7</v>
      </c>
      <c r="I58" s="431">
        <v>40603</v>
      </c>
      <c r="J58" s="38">
        <v>15</v>
      </c>
      <c r="K58" s="38" t="s">
        <v>69</v>
      </c>
      <c r="L58" s="427">
        <v>1</v>
      </c>
      <c r="M58" s="69">
        <v>42005</v>
      </c>
      <c r="N58" s="32"/>
      <c r="O58" s="418" t="s">
        <v>376</v>
      </c>
      <c r="P58" s="25"/>
    </row>
    <row r="59" spans="1:16" ht="31.5">
      <c r="A59" s="13">
        <v>26</v>
      </c>
      <c r="B59" s="217">
        <v>2</v>
      </c>
      <c r="C59" s="406" t="s">
        <v>32</v>
      </c>
      <c r="D59" s="33" t="s">
        <v>33</v>
      </c>
      <c r="E59" s="29" t="s">
        <v>34</v>
      </c>
      <c r="F59" s="407">
        <v>5</v>
      </c>
      <c r="G59" s="407">
        <v>0</v>
      </c>
      <c r="H59" s="404">
        <v>0.5</v>
      </c>
      <c r="I59" s="408">
        <v>42156</v>
      </c>
      <c r="J59" s="31"/>
      <c r="K59" s="31"/>
      <c r="L59" s="31"/>
      <c r="M59" s="31"/>
      <c r="N59" s="32"/>
      <c r="O59" s="402" t="s">
        <v>375</v>
      </c>
      <c r="P59" s="25" t="s">
        <v>304</v>
      </c>
    </row>
    <row r="60" spans="1:16" ht="31.5">
      <c r="A60" s="13">
        <v>27</v>
      </c>
      <c r="B60" s="217">
        <v>3</v>
      </c>
      <c r="C60" s="44" t="s">
        <v>35</v>
      </c>
      <c r="D60" s="28">
        <v>28370</v>
      </c>
      <c r="E60" s="29" t="s">
        <v>36</v>
      </c>
      <c r="F60" s="29">
        <v>5</v>
      </c>
      <c r="G60" s="29">
        <v>0</v>
      </c>
      <c r="H60" s="63">
        <v>0.5</v>
      </c>
      <c r="I60" s="30">
        <v>41456</v>
      </c>
      <c r="J60" s="38">
        <v>10</v>
      </c>
      <c r="K60" s="38">
        <v>0</v>
      </c>
      <c r="L60" s="38">
        <v>0.7</v>
      </c>
      <c r="M60" s="69">
        <v>43282</v>
      </c>
      <c r="N60" s="32"/>
      <c r="O60" s="79" t="s">
        <v>373</v>
      </c>
      <c r="P60" s="25"/>
    </row>
    <row r="61" spans="1:16" ht="18">
      <c r="B61" s="217">
        <v>4</v>
      </c>
      <c r="C61" s="27" t="s">
        <v>115</v>
      </c>
      <c r="D61" s="33" t="s">
        <v>116</v>
      </c>
      <c r="E61" s="29" t="s">
        <v>31</v>
      </c>
      <c r="F61" s="29"/>
      <c r="G61" s="29"/>
      <c r="H61" s="41"/>
      <c r="I61" s="30"/>
      <c r="J61" s="31">
        <v>3</v>
      </c>
      <c r="K61" s="31">
        <v>5</v>
      </c>
      <c r="M61" s="42">
        <v>43556</v>
      </c>
      <c r="N61" s="32"/>
      <c r="O61" s="76" t="s">
        <v>117</v>
      </c>
      <c r="P61" s="25" t="s">
        <v>61</v>
      </c>
    </row>
    <row r="62" spans="1:16" ht="18">
      <c r="B62" s="26">
        <v>5</v>
      </c>
      <c r="C62" s="27" t="s">
        <v>37</v>
      </c>
      <c r="D62" s="28">
        <v>26917</v>
      </c>
      <c r="E62" s="29" t="s">
        <v>38</v>
      </c>
      <c r="F62" s="29"/>
      <c r="G62" s="29"/>
      <c r="H62" s="41"/>
      <c r="I62" s="30"/>
      <c r="J62" s="31"/>
      <c r="K62" s="31"/>
      <c r="L62" s="31"/>
      <c r="M62" s="31"/>
      <c r="N62" s="32"/>
      <c r="O62" s="76" t="s">
        <v>117</v>
      </c>
      <c r="P62" s="25" t="s">
        <v>118</v>
      </c>
    </row>
    <row r="63" spans="1:16" ht="18">
      <c r="B63" s="394"/>
      <c r="C63" s="412" t="s">
        <v>147</v>
      </c>
      <c r="D63" s="28">
        <v>23192</v>
      </c>
      <c r="E63" s="29" t="s">
        <v>29</v>
      </c>
      <c r="F63" s="319">
        <v>11</v>
      </c>
      <c r="G63" s="319">
        <v>2</v>
      </c>
      <c r="H63" s="63">
        <v>0.7</v>
      </c>
      <c r="I63" s="431">
        <v>40603</v>
      </c>
      <c r="J63" s="38">
        <v>15</v>
      </c>
      <c r="K63" s="38" t="s">
        <v>69</v>
      </c>
      <c r="L63" s="427">
        <v>1</v>
      </c>
      <c r="M63" s="69">
        <v>42005</v>
      </c>
      <c r="N63" s="32"/>
      <c r="O63" s="418" t="s">
        <v>376</v>
      </c>
      <c r="P63" s="25"/>
    </row>
    <row r="64" spans="1:16" ht="18">
      <c r="B64" s="217"/>
      <c r="C64" s="27" t="s">
        <v>300</v>
      </c>
      <c r="D64" s="33"/>
      <c r="E64" s="29"/>
      <c r="F64" s="29"/>
      <c r="G64" s="29"/>
      <c r="H64" s="41"/>
      <c r="I64" s="30"/>
      <c r="J64" s="31"/>
      <c r="K64" s="31"/>
      <c r="L64" s="31"/>
      <c r="M64" s="31"/>
      <c r="N64" s="32"/>
      <c r="O64" s="324">
        <v>43556</v>
      </c>
      <c r="P64" s="25"/>
    </row>
    <row r="65" spans="1:16" ht="18">
      <c r="B65" s="73" t="s">
        <v>120</v>
      </c>
      <c r="C65" s="36"/>
      <c r="D65" s="36"/>
      <c r="E65" s="36"/>
      <c r="F65" s="36"/>
      <c r="G65" s="36"/>
      <c r="H65" s="63"/>
      <c r="I65" s="37"/>
      <c r="J65" s="38"/>
      <c r="K65" s="38"/>
      <c r="L65" s="38"/>
      <c r="M65" s="38"/>
      <c r="N65" s="32"/>
      <c r="O65" s="78"/>
      <c r="P65" s="25"/>
    </row>
    <row r="66" spans="1:16" s="142" customFormat="1" ht="31.5">
      <c r="B66" s="217">
        <v>1</v>
      </c>
      <c r="C66" s="397" t="s">
        <v>121</v>
      </c>
      <c r="D66" s="395">
        <v>26577</v>
      </c>
      <c r="E66" s="29" t="s">
        <v>60</v>
      </c>
      <c r="F66" s="321">
        <v>10</v>
      </c>
      <c r="G66" s="321">
        <v>0</v>
      </c>
      <c r="H66" s="63">
        <v>0.7</v>
      </c>
      <c r="I66" s="395">
        <v>42491</v>
      </c>
      <c r="J66" s="38"/>
      <c r="K66" s="38"/>
      <c r="L66" s="38"/>
      <c r="M66" s="38"/>
      <c r="N66" s="32"/>
      <c r="O66" s="79" t="s">
        <v>373</v>
      </c>
      <c r="P66" s="25"/>
    </row>
    <row r="67" spans="1:16" ht="31.5">
      <c r="A67" s="13">
        <v>28</v>
      </c>
      <c r="B67" s="217">
        <v>2</v>
      </c>
      <c r="C67" s="44" t="s">
        <v>105</v>
      </c>
      <c r="D67" s="28">
        <v>27770</v>
      </c>
      <c r="E67" s="29" t="s">
        <v>36</v>
      </c>
      <c r="F67" s="29">
        <v>5</v>
      </c>
      <c r="G67" s="29">
        <v>0</v>
      </c>
      <c r="H67" s="63">
        <v>0.5</v>
      </c>
      <c r="I67" s="30">
        <v>42036</v>
      </c>
      <c r="J67" s="38">
        <v>10</v>
      </c>
      <c r="K67" s="38">
        <v>0</v>
      </c>
      <c r="L67" s="38">
        <v>0.7</v>
      </c>
      <c r="M67" s="69">
        <v>43862</v>
      </c>
      <c r="N67" s="32"/>
      <c r="O67" s="79" t="s">
        <v>373</v>
      </c>
      <c r="P67" s="25"/>
    </row>
    <row r="68" spans="1:16" ht="18">
      <c r="A68" s="13">
        <v>29</v>
      </c>
      <c r="B68" s="217">
        <v>3</v>
      </c>
      <c r="C68" s="412" t="s">
        <v>153</v>
      </c>
      <c r="D68" s="28">
        <v>22999</v>
      </c>
      <c r="E68" s="29" t="s">
        <v>29</v>
      </c>
      <c r="F68" s="319">
        <v>11</v>
      </c>
      <c r="G68" s="319">
        <v>2</v>
      </c>
      <c r="H68" s="63">
        <v>0.7</v>
      </c>
      <c r="I68" s="431">
        <v>40603</v>
      </c>
      <c r="J68" s="38">
        <v>15</v>
      </c>
      <c r="K68" s="38" t="s">
        <v>69</v>
      </c>
      <c r="L68" s="427">
        <v>1</v>
      </c>
      <c r="M68" s="69">
        <v>42005</v>
      </c>
      <c r="N68" s="32"/>
      <c r="O68" s="418" t="s">
        <v>376</v>
      </c>
      <c r="P68" s="25"/>
    </row>
    <row r="69" spans="1:16" ht="18">
      <c r="A69" s="13">
        <v>30</v>
      </c>
      <c r="B69" s="217">
        <v>4</v>
      </c>
      <c r="C69" s="419" t="s">
        <v>123</v>
      </c>
      <c r="D69" s="28">
        <v>23514</v>
      </c>
      <c r="E69" s="29" t="s">
        <v>29</v>
      </c>
      <c r="F69" s="46">
        <v>6</v>
      </c>
      <c r="G69" s="46">
        <v>4</v>
      </c>
      <c r="H69" s="62">
        <v>0.5</v>
      </c>
      <c r="I69" s="47">
        <v>40603</v>
      </c>
      <c r="J69" s="38">
        <v>10</v>
      </c>
      <c r="K69" s="38"/>
      <c r="L69" s="38">
        <v>0.7</v>
      </c>
      <c r="M69" s="69">
        <v>41944</v>
      </c>
      <c r="N69" s="32"/>
      <c r="O69" s="418" t="s">
        <v>376</v>
      </c>
      <c r="P69" s="25"/>
    </row>
    <row r="70" spans="1:16" ht="18">
      <c r="B70" s="217">
        <v>5</v>
      </c>
      <c r="C70" s="44" t="s">
        <v>374</v>
      </c>
      <c r="D70" s="28">
        <v>32217</v>
      </c>
      <c r="E70" s="29" t="s">
        <v>29</v>
      </c>
      <c r="F70" s="29">
        <v>5</v>
      </c>
      <c r="G70" s="29">
        <v>0</v>
      </c>
      <c r="H70" s="63">
        <v>0.5</v>
      </c>
      <c r="I70" s="30">
        <v>42278</v>
      </c>
      <c r="J70" s="38"/>
      <c r="K70" s="38"/>
      <c r="L70" s="38"/>
      <c r="M70" s="69"/>
      <c r="N70" s="32"/>
      <c r="O70" s="79"/>
      <c r="P70" s="25"/>
    </row>
    <row r="71" spans="1:16" ht="18">
      <c r="B71" s="36" t="s">
        <v>124</v>
      </c>
      <c r="C71" s="36"/>
      <c r="D71" s="36"/>
      <c r="E71" s="36"/>
      <c r="F71" s="36"/>
      <c r="G71" s="36"/>
      <c r="H71" s="63"/>
      <c r="I71" s="37"/>
      <c r="J71" s="38"/>
      <c r="K71" s="38"/>
      <c r="L71" s="38"/>
      <c r="M71" s="38"/>
      <c r="N71" s="32"/>
      <c r="O71" s="78"/>
      <c r="P71" s="25"/>
    </row>
    <row r="72" spans="1:16" ht="18">
      <c r="A72" s="13">
        <v>31</v>
      </c>
      <c r="B72" s="217">
        <v>1</v>
      </c>
      <c r="C72" s="44" t="s">
        <v>30</v>
      </c>
      <c r="D72" s="45">
        <v>25819</v>
      </c>
      <c r="E72" s="46" t="s">
        <v>31</v>
      </c>
      <c r="F72" s="46"/>
      <c r="G72" s="46"/>
      <c r="H72" s="62"/>
      <c r="I72" s="47"/>
      <c r="J72" s="48"/>
      <c r="K72" s="48"/>
      <c r="L72" s="48"/>
      <c r="M72" s="48"/>
      <c r="N72" s="32"/>
      <c r="O72" s="76" t="s">
        <v>256</v>
      </c>
      <c r="P72" s="25" t="s">
        <v>61</v>
      </c>
    </row>
    <row r="73" spans="1:16" s="91" customFormat="1" ht="30" customHeight="1">
      <c r="A73" s="91">
        <v>32</v>
      </c>
      <c r="B73" s="217">
        <v>2</v>
      </c>
      <c r="C73" s="83" t="s">
        <v>125</v>
      </c>
      <c r="D73" s="28">
        <v>28218</v>
      </c>
      <c r="E73" s="84" t="s">
        <v>29</v>
      </c>
      <c r="F73" s="84"/>
      <c r="G73" s="84"/>
      <c r="H73" s="85"/>
      <c r="I73" s="86"/>
      <c r="J73" s="87">
        <v>0</v>
      </c>
      <c r="K73" s="87">
        <v>1</v>
      </c>
      <c r="L73" s="87"/>
      <c r="M73" s="556">
        <v>42917</v>
      </c>
      <c r="N73" s="88"/>
      <c r="O73" s="557" t="s">
        <v>384</v>
      </c>
      <c r="P73" s="90"/>
    </row>
    <row r="74" spans="1:16" ht="18">
      <c r="A74" s="13">
        <v>33</v>
      </c>
      <c r="B74" s="217">
        <v>3</v>
      </c>
      <c r="C74" s="27" t="s">
        <v>127</v>
      </c>
      <c r="D74" s="28">
        <v>30646</v>
      </c>
      <c r="E74" s="29" t="s">
        <v>34</v>
      </c>
      <c r="F74" s="29"/>
      <c r="G74" s="29"/>
      <c r="H74" s="63"/>
      <c r="I74" s="30"/>
      <c r="J74" s="38">
        <v>5</v>
      </c>
      <c r="K74" s="38">
        <v>0</v>
      </c>
      <c r="L74" s="38">
        <v>0.5</v>
      </c>
      <c r="M74" s="131">
        <v>43586</v>
      </c>
      <c r="N74" s="32"/>
      <c r="O74" s="510" t="s">
        <v>256</v>
      </c>
      <c r="P74" s="25"/>
    </row>
    <row r="75" spans="1:16" ht="18">
      <c r="A75" s="13">
        <v>34</v>
      </c>
      <c r="B75" s="217">
        <v>4</v>
      </c>
      <c r="C75" s="412" t="s">
        <v>126</v>
      </c>
      <c r="D75" s="28">
        <v>25770</v>
      </c>
      <c r="E75" s="29" t="s">
        <v>29</v>
      </c>
      <c r="F75" s="29">
        <v>11</v>
      </c>
      <c r="G75" s="29">
        <v>2</v>
      </c>
      <c r="H75" s="63">
        <v>0.7</v>
      </c>
      <c r="I75" s="30">
        <v>40603</v>
      </c>
      <c r="J75" s="416">
        <v>15</v>
      </c>
      <c r="K75" s="416"/>
      <c r="L75" s="416">
        <v>1</v>
      </c>
      <c r="M75" s="432">
        <v>42005</v>
      </c>
      <c r="N75" s="32"/>
      <c r="O75" s="418" t="s">
        <v>376</v>
      </c>
      <c r="P75" s="25"/>
    </row>
    <row r="76" spans="1:16" ht="31.5">
      <c r="A76" s="13">
        <v>35</v>
      </c>
      <c r="B76" s="217">
        <v>5</v>
      </c>
      <c r="C76" s="419" t="s">
        <v>128</v>
      </c>
      <c r="D76" s="28">
        <v>28542</v>
      </c>
      <c r="E76" s="29" t="s">
        <v>38</v>
      </c>
      <c r="F76" s="46">
        <v>6</v>
      </c>
      <c r="G76" s="46">
        <v>0</v>
      </c>
      <c r="H76" s="62">
        <v>0.5</v>
      </c>
      <c r="I76" s="47">
        <v>41456</v>
      </c>
      <c r="J76" s="416">
        <v>10</v>
      </c>
      <c r="K76" s="416">
        <v>0</v>
      </c>
      <c r="L76" s="416">
        <v>0.7</v>
      </c>
      <c r="M76" s="415">
        <v>42917</v>
      </c>
      <c r="N76" s="32"/>
      <c r="O76" s="79" t="s">
        <v>373</v>
      </c>
      <c r="P76" s="418" t="s">
        <v>376</v>
      </c>
    </row>
    <row r="77" spans="1:16" ht="18">
      <c r="B77" s="1146" t="s">
        <v>131</v>
      </c>
      <c r="C77" s="1146"/>
      <c r="D77" s="1146"/>
      <c r="E77" s="49"/>
      <c r="F77" s="49"/>
      <c r="G77" s="49"/>
      <c r="H77" s="66"/>
      <c r="I77" s="50"/>
      <c r="J77" s="74"/>
      <c r="K77" s="49"/>
      <c r="L77" s="74"/>
      <c r="M77" s="49"/>
      <c r="N77" s="32"/>
      <c r="O77" s="81"/>
      <c r="P77" s="25"/>
    </row>
    <row r="78" spans="1:16" ht="31.5">
      <c r="A78" s="13">
        <v>36</v>
      </c>
      <c r="B78" s="217">
        <v>1</v>
      </c>
      <c r="C78" s="44" t="s">
        <v>132</v>
      </c>
      <c r="D78" s="33" t="s">
        <v>133</v>
      </c>
      <c r="E78" s="29" t="s">
        <v>60</v>
      </c>
      <c r="F78" s="29">
        <v>10</v>
      </c>
      <c r="G78" s="29">
        <v>0</v>
      </c>
      <c r="H78" s="64">
        <v>0.7</v>
      </c>
      <c r="I78" s="30">
        <v>41699</v>
      </c>
      <c r="J78" s="38">
        <v>15</v>
      </c>
      <c r="K78" s="38">
        <v>0</v>
      </c>
      <c r="L78" s="38">
        <v>1</v>
      </c>
      <c r="M78" s="69">
        <v>43525</v>
      </c>
      <c r="N78" s="32"/>
      <c r="O78" s="79" t="s">
        <v>373</v>
      </c>
      <c r="P78" s="25"/>
    </row>
    <row r="79" spans="1:16" ht="31.5">
      <c r="A79" s="13">
        <v>37</v>
      </c>
      <c r="B79" s="217">
        <v>2</v>
      </c>
      <c r="C79" s="44" t="s">
        <v>134</v>
      </c>
      <c r="D79" s="28">
        <v>31358</v>
      </c>
      <c r="E79" s="29" t="s">
        <v>29</v>
      </c>
      <c r="F79" s="29">
        <v>5</v>
      </c>
      <c r="G79" s="29">
        <v>0</v>
      </c>
      <c r="H79" s="63">
        <v>0.5</v>
      </c>
      <c r="I79" s="30">
        <v>41456</v>
      </c>
      <c r="J79" s="38">
        <v>10</v>
      </c>
      <c r="K79" s="38">
        <v>0</v>
      </c>
      <c r="L79" s="38">
        <v>0.7</v>
      </c>
      <c r="M79" s="69">
        <v>43282</v>
      </c>
      <c r="N79" s="32"/>
      <c r="O79" s="79" t="s">
        <v>373</v>
      </c>
      <c r="P79" s="25"/>
    </row>
    <row r="80" spans="1:16" ht="31.5">
      <c r="A80" s="13">
        <v>38</v>
      </c>
      <c r="B80" s="217">
        <v>4</v>
      </c>
      <c r="C80" s="44" t="s">
        <v>136</v>
      </c>
      <c r="D80" s="33" t="s">
        <v>137</v>
      </c>
      <c r="E80" s="29" t="s">
        <v>36</v>
      </c>
      <c r="F80" s="46">
        <v>10</v>
      </c>
      <c r="G80" s="46">
        <v>0</v>
      </c>
      <c r="H80" s="62">
        <v>0.7</v>
      </c>
      <c r="I80" s="47">
        <v>41091</v>
      </c>
      <c r="J80" s="38">
        <v>10</v>
      </c>
      <c r="K80" s="38">
        <v>0</v>
      </c>
      <c r="L80" s="38">
        <v>0.7</v>
      </c>
      <c r="M80" s="69">
        <v>43282</v>
      </c>
      <c r="N80" s="32"/>
      <c r="O80" s="79" t="s">
        <v>373</v>
      </c>
      <c r="P80" s="25"/>
    </row>
    <row r="81" spans="1:16" ht="31.5">
      <c r="A81" s="13">
        <v>39</v>
      </c>
      <c r="B81" s="217">
        <v>5</v>
      </c>
      <c r="C81" s="44" t="s">
        <v>138</v>
      </c>
      <c r="D81" s="28">
        <v>28216</v>
      </c>
      <c r="E81" s="29" t="s">
        <v>38</v>
      </c>
      <c r="F81" s="29">
        <v>5</v>
      </c>
      <c r="G81" s="29">
        <v>0</v>
      </c>
      <c r="H81" s="63">
        <v>0.5</v>
      </c>
      <c r="I81" s="30">
        <v>41456</v>
      </c>
      <c r="J81" s="38">
        <v>10</v>
      </c>
      <c r="K81" s="38">
        <v>0</v>
      </c>
      <c r="L81" s="38">
        <v>0.7</v>
      </c>
      <c r="M81" s="69">
        <v>43282</v>
      </c>
      <c r="N81" s="32"/>
      <c r="O81" s="79" t="s">
        <v>373</v>
      </c>
      <c r="P81" s="25" t="s">
        <v>476</v>
      </c>
    </row>
    <row r="82" spans="1:16" ht="18">
      <c r="A82" s="13">
        <v>40</v>
      </c>
      <c r="B82" s="217"/>
      <c r="C82" s="419" t="s">
        <v>135</v>
      </c>
      <c r="D82" s="433">
        <v>28413</v>
      </c>
      <c r="E82" s="413" t="s">
        <v>38</v>
      </c>
      <c r="F82" s="413"/>
      <c r="G82" s="413"/>
      <c r="H82" s="414">
        <v>0.7</v>
      </c>
      <c r="I82" s="415">
        <v>41091</v>
      </c>
      <c r="J82" s="416">
        <v>15</v>
      </c>
      <c r="K82" s="416"/>
      <c r="L82" s="416">
        <v>1</v>
      </c>
      <c r="M82" s="417">
        <v>42917</v>
      </c>
      <c r="N82" s="32"/>
      <c r="O82" s="418" t="s">
        <v>376</v>
      </c>
      <c r="P82" s="25"/>
    </row>
    <row r="83" spans="1:16" ht="18">
      <c r="B83" s="73" t="s">
        <v>139</v>
      </c>
      <c r="C83" s="36"/>
      <c r="D83" s="36"/>
      <c r="E83" s="51"/>
      <c r="F83" s="51"/>
      <c r="G83" s="51"/>
      <c r="H83" s="63"/>
      <c r="I83" s="52"/>
      <c r="J83" s="38"/>
      <c r="K83" s="38"/>
      <c r="L83" s="38"/>
      <c r="M83" s="38"/>
      <c r="N83" s="32"/>
      <c r="O83" s="78"/>
      <c r="P83" s="25"/>
    </row>
    <row r="84" spans="1:16" ht="31.5">
      <c r="A84" s="13">
        <v>41</v>
      </c>
      <c r="B84" s="217">
        <v>1</v>
      </c>
      <c r="C84" s="406" t="s">
        <v>140</v>
      </c>
      <c r="D84" s="28">
        <v>30357</v>
      </c>
      <c r="E84" s="29" t="s">
        <v>29</v>
      </c>
      <c r="F84" s="407">
        <v>5</v>
      </c>
      <c r="G84" s="407">
        <v>0</v>
      </c>
      <c r="H84" s="411">
        <v>0.5</v>
      </c>
      <c r="I84" s="408">
        <v>42186</v>
      </c>
      <c r="J84" s="38"/>
      <c r="K84" s="38"/>
      <c r="L84" s="38"/>
      <c r="M84" s="38"/>
      <c r="N84" s="32"/>
      <c r="O84" s="402" t="s">
        <v>375</v>
      </c>
      <c r="P84" s="25"/>
    </row>
    <row r="85" spans="1:16" ht="31.5">
      <c r="A85" s="13">
        <v>42</v>
      </c>
      <c r="B85" s="217">
        <v>4</v>
      </c>
      <c r="C85" s="44" t="s">
        <v>143</v>
      </c>
      <c r="D85" s="33" t="s">
        <v>144</v>
      </c>
      <c r="E85" s="29" t="s">
        <v>38</v>
      </c>
      <c r="F85" s="46">
        <v>5</v>
      </c>
      <c r="G85" s="46">
        <v>0</v>
      </c>
      <c r="H85" s="62">
        <v>0.5</v>
      </c>
      <c r="I85" s="47">
        <v>41456</v>
      </c>
      <c r="J85" s="31">
        <v>10</v>
      </c>
      <c r="K85" s="31">
        <v>0</v>
      </c>
      <c r="L85" s="31">
        <v>0.7</v>
      </c>
      <c r="M85" s="42">
        <v>43282</v>
      </c>
      <c r="N85" s="32" t="s">
        <v>69</v>
      </c>
      <c r="O85" s="79" t="s">
        <v>373</v>
      </c>
      <c r="P85" s="25"/>
    </row>
    <row r="86" spans="1:16" ht="31.5">
      <c r="B86" s="217"/>
      <c r="C86" s="44" t="s">
        <v>104</v>
      </c>
      <c r="D86" s="28">
        <v>31447</v>
      </c>
      <c r="E86" s="29" t="s">
        <v>29</v>
      </c>
      <c r="F86" s="29">
        <v>5</v>
      </c>
      <c r="G86" s="29">
        <v>0</v>
      </c>
      <c r="H86" s="63">
        <v>0.5</v>
      </c>
      <c r="I86" s="30">
        <v>42248</v>
      </c>
      <c r="J86" s="31"/>
      <c r="K86" s="31"/>
      <c r="L86" s="31"/>
      <c r="M86" s="42"/>
      <c r="N86" s="32"/>
      <c r="O86" s="79" t="s">
        <v>373</v>
      </c>
      <c r="P86" s="25"/>
    </row>
    <row r="87" spans="1:16" ht="31.5">
      <c r="A87" s="13">
        <v>43</v>
      </c>
      <c r="B87" s="217">
        <v>6</v>
      </c>
      <c r="C87" s="44" t="s">
        <v>145</v>
      </c>
      <c r="D87" s="28">
        <v>30597</v>
      </c>
      <c r="E87" s="29" t="s">
        <v>36</v>
      </c>
      <c r="F87" s="29">
        <v>5</v>
      </c>
      <c r="G87" s="29">
        <v>0</v>
      </c>
      <c r="H87" s="63">
        <v>0.5</v>
      </c>
      <c r="I87" s="30">
        <v>41456</v>
      </c>
      <c r="J87" s="31">
        <v>10</v>
      </c>
      <c r="K87" s="31">
        <v>0</v>
      </c>
      <c r="L87" s="31">
        <v>0.7</v>
      </c>
      <c r="M87" s="42">
        <v>43282</v>
      </c>
      <c r="N87" s="32"/>
      <c r="O87" s="79" t="s">
        <v>373</v>
      </c>
      <c r="P87" s="25" t="s">
        <v>61</v>
      </c>
    </row>
    <row r="88" spans="1:16" ht="18">
      <c r="A88" s="13" t="s">
        <v>69</v>
      </c>
      <c r="B88" s="1147" t="s">
        <v>39</v>
      </c>
      <c r="C88" s="1147"/>
      <c r="D88" s="318"/>
      <c r="E88" s="318"/>
      <c r="F88" s="318"/>
      <c r="G88" s="318"/>
      <c r="H88" s="218" t="s">
        <v>69</v>
      </c>
      <c r="I88" s="219"/>
      <c r="J88" s="318"/>
      <c r="K88" s="318"/>
      <c r="L88" s="318"/>
      <c r="M88" s="318"/>
      <c r="N88" s="53"/>
      <c r="O88" s="220"/>
    </row>
    <row r="89" spans="1:16" ht="18">
      <c r="B89" s="207"/>
      <c r="C89" s="207"/>
      <c r="D89" s="207"/>
      <c r="E89" s="207"/>
      <c r="F89" s="207"/>
      <c r="G89" s="207"/>
      <c r="H89" s="208"/>
      <c r="I89" s="209"/>
      <c r="J89" s="207"/>
      <c r="K89" s="207"/>
      <c r="L89" s="207"/>
      <c r="M89" s="207"/>
      <c r="N89" s="210"/>
      <c r="O89" s="212"/>
    </row>
    <row r="90" spans="1:16" ht="18">
      <c r="B90" s="207"/>
      <c r="C90" s="207"/>
      <c r="D90" s="207"/>
      <c r="E90" s="207"/>
      <c r="F90" s="207"/>
      <c r="G90" s="207"/>
      <c r="H90" s="208"/>
      <c r="I90" s="209"/>
      <c r="J90" s="207"/>
      <c r="K90" s="207"/>
      <c r="L90" s="207"/>
      <c r="M90" s="207"/>
      <c r="N90" s="210"/>
      <c r="O90" s="211"/>
    </row>
    <row r="91" spans="1:16" ht="18">
      <c r="B91" s="207"/>
      <c r="C91" s="207"/>
      <c r="D91" s="207"/>
      <c r="E91" s="207"/>
      <c r="F91" s="207"/>
      <c r="G91" s="207"/>
      <c r="H91" s="208"/>
      <c r="I91" s="209"/>
      <c r="J91" s="207"/>
      <c r="K91" s="207"/>
      <c r="L91" s="207"/>
      <c r="M91" s="207"/>
      <c r="N91" s="210"/>
      <c r="O91" s="211"/>
    </row>
    <row r="92" spans="1:16" ht="18">
      <c r="B92" s="207"/>
      <c r="C92" s="207"/>
      <c r="D92" s="207"/>
      <c r="E92" s="207"/>
      <c r="F92" s="207"/>
      <c r="G92" s="207"/>
      <c r="H92" s="208"/>
      <c r="I92" s="209"/>
      <c r="J92" s="207"/>
      <c r="K92" s="207"/>
      <c r="L92" s="207"/>
      <c r="M92" s="207"/>
      <c r="N92" s="210"/>
      <c r="O92" s="211"/>
    </row>
    <row r="93" spans="1:16" ht="18">
      <c r="B93" s="207"/>
      <c r="C93" s="207"/>
      <c r="D93" s="207"/>
      <c r="E93" s="207"/>
      <c r="F93" s="207"/>
      <c r="G93" s="207"/>
      <c r="H93" s="208"/>
      <c r="I93" s="209"/>
      <c r="J93" s="207"/>
      <c r="K93" s="207"/>
      <c r="L93" s="207"/>
      <c r="M93" s="207"/>
      <c r="N93" s="210"/>
      <c r="O93" s="211"/>
    </row>
    <row r="94" spans="1:16" ht="18">
      <c r="B94" s="207"/>
      <c r="C94" s="207"/>
      <c r="D94" s="207"/>
      <c r="E94" s="207"/>
      <c r="F94" s="207"/>
      <c r="G94" s="207"/>
      <c r="H94" s="208"/>
      <c r="I94" s="209"/>
      <c r="J94" s="207"/>
      <c r="K94" s="207"/>
      <c r="L94" s="207"/>
      <c r="M94" s="207"/>
      <c r="N94" s="210"/>
      <c r="O94" s="211"/>
    </row>
    <row r="95" spans="1:16" ht="18">
      <c r="B95" s="54"/>
      <c r="C95" s="54"/>
      <c r="D95" s="54"/>
      <c r="E95" s="54"/>
      <c r="F95" s="54"/>
      <c r="G95" s="54"/>
      <c r="H95" s="67"/>
      <c r="I95" s="54"/>
      <c r="J95" s="55"/>
      <c r="K95" s="54"/>
      <c r="L95" s="55"/>
      <c r="M95" s="55"/>
      <c r="O95" s="82"/>
    </row>
    <row r="96" spans="1:16" ht="18">
      <c r="B96" s="26">
        <v>6</v>
      </c>
      <c r="C96" s="27" t="s">
        <v>119</v>
      </c>
      <c r="D96" s="28"/>
      <c r="E96" s="29" t="s">
        <v>29</v>
      </c>
      <c r="F96" s="29"/>
      <c r="G96" s="29"/>
      <c r="H96" s="41"/>
      <c r="I96" s="30">
        <v>43556</v>
      </c>
      <c r="J96" s="31"/>
      <c r="K96" s="31"/>
      <c r="L96" s="31"/>
      <c r="M96" s="31"/>
      <c r="N96" s="32"/>
      <c r="O96" s="76" t="s">
        <v>69</v>
      </c>
      <c r="P96" s="71" t="s">
        <v>89</v>
      </c>
    </row>
    <row r="97" spans="1:16" ht="18">
      <c r="B97" s="26">
        <v>5</v>
      </c>
      <c r="C97" s="27" t="s">
        <v>104</v>
      </c>
      <c r="D97" s="28">
        <v>34505</v>
      </c>
      <c r="E97" s="34" t="s">
        <v>29</v>
      </c>
      <c r="F97" s="34"/>
      <c r="G97" s="34"/>
      <c r="H97" s="41"/>
      <c r="I97" s="28"/>
      <c r="J97" s="31"/>
      <c r="K97" s="31"/>
      <c r="L97" s="31"/>
      <c r="M97" s="31"/>
      <c r="N97" s="32"/>
      <c r="O97" s="76"/>
      <c r="P97" s="25"/>
    </row>
    <row r="98" spans="1:16" ht="18">
      <c r="B98" s="187"/>
      <c r="C98" s="188"/>
      <c r="D98" s="189"/>
      <c r="E98" s="190"/>
      <c r="F98" s="190"/>
      <c r="G98" s="190"/>
      <c r="H98" s="191"/>
      <c r="I98" s="192"/>
      <c r="J98" s="193"/>
      <c r="K98" s="193"/>
      <c r="L98" s="193"/>
      <c r="M98" s="194"/>
      <c r="N98" s="195"/>
      <c r="O98" s="196"/>
      <c r="P98" s="71"/>
    </row>
    <row r="99" spans="1:16" s="186" customFormat="1" ht="19.5" customHeight="1">
      <c r="A99" s="13"/>
      <c r="B99" s="176"/>
      <c r="C99" s="177"/>
      <c r="D99" s="178"/>
      <c r="E99" s="179"/>
      <c r="F99" s="179"/>
      <c r="G99" s="179"/>
      <c r="H99" s="180"/>
      <c r="I99" s="181"/>
      <c r="J99" s="182"/>
      <c r="K99" s="182"/>
      <c r="L99" s="182"/>
      <c r="M99" s="183"/>
      <c r="N99" s="184"/>
      <c r="O99" s="185"/>
      <c r="P99" s="184"/>
    </row>
    <row r="100" spans="1:16" s="186" customFormat="1" ht="18">
      <c r="A100" s="13"/>
      <c r="B100" s="176"/>
      <c r="C100" s="177"/>
      <c r="D100" s="178"/>
      <c r="E100" s="179"/>
      <c r="F100" s="179"/>
      <c r="G100" s="179"/>
      <c r="H100" s="180"/>
      <c r="I100" s="181"/>
      <c r="J100" s="182"/>
      <c r="K100" s="182"/>
      <c r="L100" s="182"/>
      <c r="M100" s="183"/>
      <c r="N100" s="184"/>
      <c r="O100" s="185"/>
      <c r="P100" s="184"/>
    </row>
    <row r="101" spans="1:16" s="186" customFormat="1" ht="18">
      <c r="A101" s="13"/>
      <c r="B101" s="176"/>
      <c r="C101" s="177"/>
      <c r="D101" s="178"/>
      <c r="E101" s="179"/>
      <c r="F101" s="179"/>
      <c r="G101" s="179"/>
      <c r="H101" s="180"/>
      <c r="I101" s="181"/>
      <c r="J101" s="182"/>
      <c r="K101" s="182"/>
      <c r="L101" s="182"/>
      <c r="M101" s="183"/>
      <c r="N101" s="184"/>
      <c r="O101" s="185"/>
      <c r="P101" s="184"/>
    </row>
    <row r="102" spans="1:16" s="186" customFormat="1" ht="18">
      <c r="A102" s="13"/>
      <c r="B102" s="176"/>
      <c r="C102" s="177"/>
      <c r="D102" s="178"/>
      <c r="E102" s="179"/>
      <c r="F102" s="179"/>
      <c r="G102" s="179"/>
      <c r="H102" s="180"/>
      <c r="I102" s="181"/>
      <c r="J102" s="182"/>
      <c r="K102" s="182"/>
      <c r="L102" s="182"/>
      <c r="M102" s="183"/>
      <c r="N102" s="184"/>
      <c r="O102" s="185"/>
      <c r="P102" s="184"/>
    </row>
    <row r="103" spans="1:16" s="186" customFormat="1" ht="18">
      <c r="A103" s="13"/>
      <c r="B103" s="176"/>
      <c r="C103" s="177"/>
      <c r="D103" s="178"/>
      <c r="E103" s="179"/>
      <c r="F103" s="179"/>
      <c r="G103" s="179"/>
      <c r="H103" s="180"/>
      <c r="I103" s="181"/>
      <c r="J103" s="182"/>
      <c r="K103" s="182"/>
      <c r="L103" s="182"/>
      <c r="M103" s="183"/>
      <c r="N103" s="184"/>
      <c r="O103" s="185"/>
    </row>
    <row r="104" spans="1:16" s="186" customFormat="1" ht="18">
      <c r="A104" s="13"/>
      <c r="B104" s="197"/>
      <c r="C104" s="198"/>
      <c r="D104" s="199"/>
      <c r="E104" s="200"/>
      <c r="F104" s="200"/>
      <c r="G104" s="200"/>
      <c r="H104" s="201"/>
      <c r="I104" s="202"/>
      <c r="J104" s="203"/>
      <c r="K104" s="203"/>
      <c r="L104" s="203"/>
      <c r="M104" s="204"/>
      <c r="N104" s="205"/>
      <c r="O104" s="206"/>
    </row>
    <row r="105" spans="1:16" ht="18">
      <c r="B105" s="22" t="s">
        <v>90</v>
      </c>
      <c r="C105" s="23"/>
      <c r="D105" s="23"/>
      <c r="E105" s="23"/>
      <c r="F105" s="23"/>
      <c r="G105" s="23"/>
      <c r="H105" s="172"/>
      <c r="I105" s="173"/>
      <c r="J105" s="174"/>
      <c r="K105" s="23"/>
      <c r="L105" s="174"/>
      <c r="M105" s="23"/>
      <c r="N105" s="24"/>
      <c r="O105" s="175"/>
      <c r="P105" s="25"/>
    </row>
    <row r="106" spans="1:16" ht="18">
      <c r="A106" s="186"/>
      <c r="B106" s="26">
        <v>2</v>
      </c>
      <c r="C106" s="27" t="s">
        <v>141</v>
      </c>
      <c r="D106" s="28">
        <v>32545</v>
      </c>
      <c r="E106" s="29" t="s">
        <v>29</v>
      </c>
      <c r="F106" s="29"/>
      <c r="G106" s="29"/>
      <c r="H106" s="63"/>
      <c r="I106" s="30"/>
      <c r="J106" s="38"/>
      <c r="K106" s="38"/>
      <c r="L106" s="38"/>
      <c r="M106" s="38"/>
      <c r="N106" s="32"/>
      <c r="O106" s="78" t="s">
        <v>142</v>
      </c>
      <c r="P106" s="25"/>
    </row>
    <row r="107" spans="1:16" s="91" customFormat="1" ht="18">
      <c r="A107" s="186"/>
      <c r="B107" s="26">
        <v>2</v>
      </c>
      <c r="C107" s="83" t="s">
        <v>115</v>
      </c>
      <c r="D107" s="33" t="s">
        <v>116</v>
      </c>
      <c r="E107" s="84" t="s">
        <v>31</v>
      </c>
      <c r="F107" s="84"/>
      <c r="G107" s="84"/>
      <c r="H107" s="85"/>
      <c r="I107" s="86"/>
      <c r="J107" s="87"/>
      <c r="K107" s="87"/>
      <c r="L107" s="87"/>
      <c r="M107" s="87"/>
      <c r="N107" s="88"/>
      <c r="O107" s="89" t="s">
        <v>117</v>
      </c>
      <c r="P107" s="90" t="s">
        <v>61</v>
      </c>
    </row>
    <row r="108" spans="1:16" s="91" customFormat="1" ht="18">
      <c r="A108" s="186"/>
      <c r="B108" s="26">
        <v>5</v>
      </c>
      <c r="C108" s="83" t="s">
        <v>37</v>
      </c>
      <c r="D108" s="28">
        <v>26917</v>
      </c>
      <c r="E108" s="84" t="s">
        <v>38</v>
      </c>
      <c r="F108" s="84"/>
      <c r="G108" s="84"/>
      <c r="H108" s="85"/>
      <c r="I108" s="86"/>
      <c r="J108" s="87"/>
      <c r="K108" s="87"/>
      <c r="L108" s="87"/>
      <c r="M108" s="87"/>
      <c r="N108" s="88"/>
      <c r="O108" s="89" t="s">
        <v>117</v>
      </c>
      <c r="P108" s="90" t="s">
        <v>118</v>
      </c>
    </row>
    <row r="109" spans="1:16" ht="18">
      <c r="B109" s="26">
        <v>6</v>
      </c>
      <c r="C109" s="27" t="s">
        <v>129</v>
      </c>
      <c r="D109" s="33" t="s">
        <v>130</v>
      </c>
      <c r="E109" s="29" t="s">
        <v>36</v>
      </c>
      <c r="F109" s="29"/>
      <c r="G109" s="29"/>
      <c r="H109" s="41"/>
      <c r="I109" s="30"/>
      <c r="J109" s="31"/>
      <c r="K109" s="31"/>
      <c r="L109" s="31"/>
      <c r="M109" s="31"/>
      <c r="N109" s="32"/>
      <c r="O109" s="76"/>
      <c r="P109" s="25" t="s">
        <v>61</v>
      </c>
    </row>
    <row r="110" spans="1:16" ht="18">
      <c r="B110" s="26">
        <v>42</v>
      </c>
      <c r="C110" s="27" t="s">
        <v>147</v>
      </c>
      <c r="D110" s="33" t="s">
        <v>148</v>
      </c>
      <c r="E110" s="29" t="s">
        <v>29</v>
      </c>
      <c r="F110" s="29"/>
      <c r="G110" s="29"/>
      <c r="H110" s="65">
        <v>1</v>
      </c>
      <c r="I110" s="30"/>
      <c r="J110" s="38"/>
      <c r="K110" s="38"/>
      <c r="L110" s="38"/>
      <c r="M110" s="38"/>
      <c r="N110" s="32"/>
      <c r="O110" s="80"/>
    </row>
    <row r="115" spans="1:1">
      <c r="A115" s="91"/>
    </row>
    <row r="116" spans="1:1">
      <c r="A116" s="91"/>
    </row>
  </sheetData>
  <mergeCells count="25">
    <mergeCell ref="P40:Q40"/>
    <mergeCell ref="B77:D77"/>
    <mergeCell ref="B88:C88"/>
    <mergeCell ref="N6:N9"/>
    <mergeCell ref="B6:B9"/>
    <mergeCell ref="C6:C9"/>
    <mergeCell ref="D6:D9"/>
    <mergeCell ref="E6:E9"/>
    <mergeCell ref="O6:O9"/>
    <mergeCell ref="F7:I7"/>
    <mergeCell ref="J7:M7"/>
    <mergeCell ref="F8:F9"/>
    <mergeCell ref="G8:G9"/>
    <mergeCell ref="H8:H9"/>
    <mergeCell ref="I8:I9"/>
    <mergeCell ref="J8:J9"/>
    <mergeCell ref="K8:K9"/>
    <mergeCell ref="F6:M6"/>
    <mergeCell ref="L8:L9"/>
    <mergeCell ref="M8:M9"/>
    <mergeCell ref="B1:C1"/>
    <mergeCell ref="I1:O1"/>
    <mergeCell ref="I2:O2"/>
    <mergeCell ref="B4:O4"/>
    <mergeCell ref="B5:O5"/>
  </mergeCells>
  <pageMargins left="0.24" right="0.19" top="0.25" bottom="0.36" header="0.2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5"/>
  <sheetViews>
    <sheetView topLeftCell="A10" workbookViewId="0">
      <selection activeCell="G30" sqref="G30"/>
    </sheetView>
  </sheetViews>
  <sheetFormatPr defaultColWidth="9" defaultRowHeight="15"/>
  <cols>
    <col min="1" max="1" width="3.85546875" style="142" customWidth="1"/>
    <col min="2" max="2" width="4.28515625" style="142" customWidth="1"/>
    <col min="3" max="3" width="21.42578125" style="142" customWidth="1"/>
    <col min="4" max="4" width="16.85546875" style="142" customWidth="1"/>
    <col min="5" max="5" width="11.42578125" style="142" customWidth="1"/>
    <col min="6" max="7" width="4.5703125" style="142" customWidth="1"/>
    <col min="8" max="8" width="5.140625" style="142" customWidth="1"/>
    <col min="9" max="9" width="16.140625" style="142" customWidth="1"/>
    <col min="10" max="10" width="4.5703125" style="456" customWidth="1"/>
    <col min="11" max="11" width="6" style="142" customWidth="1"/>
    <col min="12" max="12" width="5.7109375" style="142" customWidth="1"/>
    <col min="13" max="13" width="16.28515625" style="142" customWidth="1"/>
    <col min="14" max="14" width="6.140625" style="142" customWidth="1"/>
    <col min="15" max="15" width="15.42578125" style="142" customWidth="1"/>
    <col min="16" max="16" width="11.42578125" style="142" customWidth="1"/>
    <col min="17" max="16384" width="9" style="142"/>
  </cols>
  <sheetData>
    <row r="1" spans="1:17" ht="16.5">
      <c r="B1" s="1182" t="s">
        <v>0</v>
      </c>
      <c r="C1" s="1182"/>
      <c r="D1" s="448"/>
      <c r="E1" s="448"/>
      <c r="F1" s="449"/>
      <c r="G1" s="449"/>
      <c r="I1" s="1182" t="s">
        <v>1</v>
      </c>
      <c r="J1" s="1182"/>
      <c r="K1" s="1182"/>
      <c r="L1" s="1182"/>
      <c r="M1" s="1182"/>
      <c r="N1" s="1182"/>
      <c r="O1" s="1182"/>
    </row>
    <row r="2" spans="1:17" ht="18">
      <c r="B2" s="450" t="s">
        <v>42</v>
      </c>
      <c r="C2" s="450"/>
      <c r="D2" s="450"/>
      <c r="E2" s="450"/>
      <c r="F2" s="450"/>
      <c r="G2" s="450"/>
      <c r="H2" s="451"/>
      <c r="I2" s="1183" t="s">
        <v>251</v>
      </c>
      <c r="J2" s="1183"/>
      <c r="K2" s="1183"/>
      <c r="L2" s="1183"/>
      <c r="M2" s="1183"/>
      <c r="N2" s="1183"/>
      <c r="O2" s="1183"/>
    </row>
    <row r="3" spans="1:17" ht="14.25" customHeight="1">
      <c r="B3" s="452"/>
      <c r="C3" s="452"/>
      <c r="D3" s="452"/>
      <c r="E3" s="452"/>
      <c r="F3" s="452"/>
      <c r="G3" s="452"/>
      <c r="H3" s="453"/>
      <c r="I3" s="452"/>
      <c r="J3" s="449"/>
      <c r="K3" s="449"/>
      <c r="L3" s="449"/>
      <c r="M3" s="449"/>
    </row>
    <row r="4" spans="1:17" ht="18">
      <c r="B4" s="1183" t="s">
        <v>249</v>
      </c>
      <c r="C4" s="1183"/>
      <c r="D4" s="1183"/>
      <c r="E4" s="1183"/>
      <c r="F4" s="1183"/>
      <c r="G4" s="1183"/>
      <c r="H4" s="1183"/>
      <c r="I4" s="1183"/>
      <c r="J4" s="1183"/>
      <c r="K4" s="1183"/>
      <c r="L4" s="1183"/>
      <c r="M4" s="1183"/>
      <c r="N4" s="1183"/>
      <c r="O4" s="1183"/>
    </row>
    <row r="5" spans="1:17" ht="18">
      <c r="B5" s="1184" t="s">
        <v>50</v>
      </c>
      <c r="C5" s="1184"/>
      <c r="D5" s="1184"/>
      <c r="E5" s="1184"/>
      <c r="F5" s="1184"/>
      <c r="G5" s="1184"/>
      <c r="H5" s="1184"/>
      <c r="I5" s="1184"/>
      <c r="J5" s="1184"/>
      <c r="K5" s="1184"/>
      <c r="L5" s="1184"/>
      <c r="M5" s="1184"/>
      <c r="N5" s="1184"/>
      <c r="O5" s="1184"/>
    </row>
    <row r="6" spans="1:17" ht="15" customHeight="1">
      <c r="A6" s="1167" t="s">
        <v>385</v>
      </c>
      <c r="B6" s="1167" t="s">
        <v>51</v>
      </c>
      <c r="C6" s="1167" t="s">
        <v>6</v>
      </c>
      <c r="D6" s="1167" t="s">
        <v>7</v>
      </c>
      <c r="E6" s="1167" t="s">
        <v>52</v>
      </c>
      <c r="F6" s="1170" t="s">
        <v>250</v>
      </c>
      <c r="G6" s="1170"/>
      <c r="H6" s="1170"/>
      <c r="I6" s="1170"/>
      <c r="J6" s="1170"/>
      <c r="K6" s="1170"/>
      <c r="L6" s="1170"/>
      <c r="M6" s="1170"/>
      <c r="N6" s="1176" t="s">
        <v>53</v>
      </c>
      <c r="O6" s="1179" t="s">
        <v>13</v>
      </c>
      <c r="P6" s="15"/>
    </row>
    <row r="7" spans="1:17" ht="15" customHeight="1">
      <c r="A7" s="1168"/>
      <c r="B7" s="1168"/>
      <c r="C7" s="1168"/>
      <c r="D7" s="1168"/>
      <c r="E7" s="1168"/>
      <c r="F7" s="1170" t="s">
        <v>302</v>
      </c>
      <c r="G7" s="1170"/>
      <c r="H7" s="1170"/>
      <c r="I7" s="1170"/>
      <c r="J7" s="1170" t="s">
        <v>20</v>
      </c>
      <c r="K7" s="1170"/>
      <c r="L7" s="1170"/>
      <c r="M7" s="1170"/>
      <c r="N7" s="1177"/>
      <c r="O7" s="1180"/>
      <c r="P7" s="15"/>
    </row>
    <row r="8" spans="1:17">
      <c r="A8" s="1168"/>
      <c r="B8" s="1168"/>
      <c r="C8" s="1168"/>
      <c r="D8" s="1168"/>
      <c r="E8" s="1168"/>
      <c r="F8" s="1173" t="s">
        <v>54</v>
      </c>
      <c r="G8" s="1173" t="s">
        <v>55</v>
      </c>
      <c r="H8" s="1185" t="s">
        <v>56</v>
      </c>
      <c r="I8" s="1173" t="s">
        <v>57</v>
      </c>
      <c r="J8" s="1173" t="s">
        <v>54</v>
      </c>
      <c r="K8" s="1173" t="s">
        <v>55</v>
      </c>
      <c r="L8" s="1173" t="s">
        <v>56</v>
      </c>
      <c r="M8" s="1173" t="s">
        <v>57</v>
      </c>
      <c r="N8" s="1177"/>
      <c r="O8" s="1180"/>
      <c r="P8" s="15"/>
    </row>
    <row r="9" spans="1:17" ht="19.5" customHeight="1">
      <c r="A9" s="1169"/>
      <c r="B9" s="1169"/>
      <c r="C9" s="1169"/>
      <c r="D9" s="1169"/>
      <c r="E9" s="1169"/>
      <c r="F9" s="1169"/>
      <c r="G9" s="1169"/>
      <c r="H9" s="1186"/>
      <c r="I9" s="1169"/>
      <c r="J9" s="1169"/>
      <c r="K9" s="1169"/>
      <c r="L9" s="1169"/>
      <c r="M9" s="1169"/>
      <c r="N9" s="1178"/>
      <c r="O9" s="1181"/>
      <c r="P9" s="15"/>
    </row>
    <row r="10" spans="1:17" ht="18">
      <c r="A10" s="519"/>
      <c r="B10" s="472" t="s">
        <v>58</v>
      </c>
      <c r="C10" s="472"/>
      <c r="D10" s="472"/>
      <c r="E10" s="472"/>
      <c r="F10" s="472"/>
      <c r="G10" s="472"/>
      <c r="H10" s="472"/>
      <c r="I10" s="472"/>
      <c r="J10" s="520"/>
      <c r="K10" s="520"/>
      <c r="L10" s="520"/>
      <c r="M10" s="520"/>
      <c r="N10" s="24"/>
      <c r="O10" s="521"/>
      <c r="P10" s="25"/>
    </row>
    <row r="11" spans="1:17" ht="18">
      <c r="A11" s="144">
        <v>1</v>
      </c>
      <c r="B11" s="38">
        <v>1</v>
      </c>
      <c r="C11" s="162" t="s">
        <v>59</v>
      </c>
      <c r="D11" s="167">
        <v>29465</v>
      </c>
      <c r="E11" s="164" t="s">
        <v>60</v>
      </c>
      <c r="F11" s="164"/>
      <c r="G11" s="164"/>
      <c r="H11" s="168"/>
      <c r="I11" s="165"/>
      <c r="J11" s="166">
        <v>6</v>
      </c>
      <c r="K11" s="166">
        <v>0</v>
      </c>
      <c r="L11" s="166">
        <v>0.5</v>
      </c>
      <c r="M11" s="40">
        <v>43435</v>
      </c>
      <c r="N11" s="32">
        <f>L11-H11</f>
        <v>0.5</v>
      </c>
      <c r="O11" s="169"/>
      <c r="P11" s="25" t="s">
        <v>61</v>
      </c>
    </row>
    <row r="12" spans="1:17" ht="31.5">
      <c r="A12" s="144">
        <v>2</v>
      </c>
      <c r="B12" s="38">
        <v>2</v>
      </c>
      <c r="C12" s="162" t="s">
        <v>63</v>
      </c>
      <c r="D12" s="163" t="s">
        <v>64</v>
      </c>
      <c r="E12" s="164" t="s">
        <v>36</v>
      </c>
      <c r="F12" s="164">
        <v>5</v>
      </c>
      <c r="G12" s="164">
        <v>0</v>
      </c>
      <c r="H12" s="63">
        <v>0.5</v>
      </c>
      <c r="I12" s="165">
        <v>41456</v>
      </c>
      <c r="J12" s="38">
        <v>10</v>
      </c>
      <c r="K12" s="38">
        <v>0</v>
      </c>
      <c r="L12" s="38">
        <v>0.7</v>
      </c>
      <c r="M12" s="507">
        <v>43282</v>
      </c>
      <c r="N12" s="32">
        <f t="shared" ref="N12:N40" si="0">L12-H12</f>
        <v>0.19999999999999996</v>
      </c>
      <c r="O12" s="169" t="s">
        <v>373</v>
      </c>
      <c r="P12" s="25" t="s">
        <v>61</v>
      </c>
    </row>
    <row r="13" spans="1:17" ht="18">
      <c r="A13" s="144"/>
      <c r="B13" s="434" t="s">
        <v>66</v>
      </c>
      <c r="C13" s="434"/>
      <c r="D13" s="434"/>
      <c r="E13" s="434"/>
      <c r="F13" s="434"/>
      <c r="G13" s="434"/>
      <c r="H13" s="168"/>
      <c r="I13" s="454"/>
      <c r="J13" s="166"/>
      <c r="K13" s="166"/>
      <c r="L13" s="166"/>
      <c r="M13" s="166"/>
      <c r="N13" s="32"/>
      <c r="O13" s="169"/>
      <c r="P13" s="25"/>
    </row>
    <row r="14" spans="1:17" ht="31.5">
      <c r="A14" s="144">
        <v>3</v>
      </c>
      <c r="B14" s="38">
        <v>1</v>
      </c>
      <c r="C14" s="162" t="s">
        <v>67</v>
      </c>
      <c r="D14" s="167">
        <v>28340</v>
      </c>
      <c r="E14" s="164" t="s">
        <v>60</v>
      </c>
      <c r="F14" s="164">
        <v>5</v>
      </c>
      <c r="G14" s="164">
        <v>0</v>
      </c>
      <c r="H14" s="168">
        <v>0.5</v>
      </c>
      <c r="I14" s="165">
        <v>41579</v>
      </c>
      <c r="J14" s="322">
        <v>10</v>
      </c>
      <c r="K14" s="166">
        <v>0</v>
      </c>
      <c r="L14" s="166">
        <v>0.7</v>
      </c>
      <c r="M14" s="165">
        <v>43405</v>
      </c>
      <c r="N14" s="32">
        <f t="shared" si="0"/>
        <v>0.19999999999999996</v>
      </c>
      <c r="O14" s="169" t="s">
        <v>373</v>
      </c>
      <c r="P14" s="25" t="s">
        <v>378</v>
      </c>
      <c r="Q14" s="142" t="s">
        <v>383</v>
      </c>
    </row>
    <row r="15" spans="1:17" ht="18">
      <c r="A15" s="144">
        <v>4</v>
      </c>
      <c r="B15" s="38">
        <v>2</v>
      </c>
      <c r="C15" s="162" t="s">
        <v>73</v>
      </c>
      <c r="D15" s="435">
        <v>32462</v>
      </c>
      <c r="E15" s="164" t="s">
        <v>34</v>
      </c>
      <c r="F15" s="164"/>
      <c r="G15" s="164"/>
      <c r="H15" s="168"/>
      <c r="I15" s="165">
        <v>43435</v>
      </c>
      <c r="J15" s="166">
        <v>5</v>
      </c>
      <c r="K15" s="166">
        <v>0</v>
      </c>
      <c r="L15" s="166">
        <v>0.5</v>
      </c>
      <c r="M15" s="165">
        <v>43435</v>
      </c>
      <c r="N15" s="32">
        <f t="shared" si="0"/>
        <v>0.5</v>
      </c>
      <c r="O15" s="169" t="s">
        <v>69</v>
      </c>
      <c r="P15" s="25"/>
    </row>
    <row r="16" spans="1:17" ht="18">
      <c r="A16" s="144"/>
      <c r="B16" s="434" t="s">
        <v>74</v>
      </c>
      <c r="C16" s="434"/>
      <c r="D16" s="434"/>
      <c r="E16" s="434"/>
      <c r="F16" s="434"/>
      <c r="G16" s="434"/>
      <c r="H16" s="168"/>
      <c r="I16" s="454"/>
      <c r="J16" s="166"/>
      <c r="K16" s="166"/>
      <c r="L16" s="166"/>
      <c r="M16" s="166"/>
      <c r="N16" s="32"/>
      <c r="O16" s="169"/>
      <c r="P16" s="25"/>
    </row>
    <row r="17" spans="1:16" ht="18">
      <c r="A17" s="144">
        <v>5</v>
      </c>
      <c r="B17" s="38">
        <v>1</v>
      </c>
      <c r="C17" s="455" t="s">
        <v>75</v>
      </c>
      <c r="D17" s="436">
        <v>24024</v>
      </c>
      <c r="E17" s="164" t="s">
        <v>29</v>
      </c>
      <c r="F17" s="455">
        <v>5</v>
      </c>
      <c r="G17" s="455">
        <v>0</v>
      </c>
      <c r="H17" s="168">
        <v>0.5</v>
      </c>
      <c r="I17" s="436">
        <v>41821</v>
      </c>
      <c r="J17" s="166">
        <v>10</v>
      </c>
      <c r="K17" s="166">
        <v>0</v>
      </c>
      <c r="L17" s="166">
        <v>0.7</v>
      </c>
      <c r="M17" s="436">
        <v>43617</v>
      </c>
      <c r="N17" s="32">
        <f t="shared" si="0"/>
        <v>0.19999999999999996</v>
      </c>
      <c r="O17" s="169"/>
      <c r="P17" s="25"/>
    </row>
    <row r="18" spans="1:16" ht="18">
      <c r="A18" s="144">
        <v>6</v>
      </c>
      <c r="B18" s="38">
        <v>3</v>
      </c>
      <c r="C18" s="162" t="s">
        <v>78</v>
      </c>
      <c r="D18" s="163" t="s">
        <v>79</v>
      </c>
      <c r="E18" s="164" t="s">
        <v>29</v>
      </c>
      <c r="F18" s="164">
        <v>8</v>
      </c>
      <c r="G18" s="164">
        <v>0</v>
      </c>
      <c r="H18" s="168">
        <v>0.5</v>
      </c>
      <c r="I18" s="165">
        <v>42248</v>
      </c>
      <c r="J18" s="166">
        <v>10</v>
      </c>
      <c r="K18" s="166">
        <v>0</v>
      </c>
      <c r="L18" s="166">
        <v>0.7</v>
      </c>
      <c r="M18" s="376">
        <v>42979</v>
      </c>
      <c r="N18" s="32">
        <f t="shared" si="0"/>
        <v>0.19999999999999996</v>
      </c>
      <c r="O18" s="418" t="s">
        <v>376</v>
      </c>
      <c r="P18" s="25" t="s">
        <v>377</v>
      </c>
    </row>
    <row r="19" spans="1:16" ht="18">
      <c r="A19" s="144">
        <v>7</v>
      </c>
      <c r="B19" s="38">
        <v>4</v>
      </c>
      <c r="C19" s="162" t="s">
        <v>80</v>
      </c>
      <c r="D19" s="167">
        <v>31992</v>
      </c>
      <c r="E19" s="164" t="s">
        <v>29</v>
      </c>
      <c r="F19" s="32"/>
      <c r="G19" s="32"/>
      <c r="H19" s="32"/>
      <c r="I19" s="32"/>
      <c r="J19" s="164">
        <v>5</v>
      </c>
      <c r="K19" s="164">
        <v>0</v>
      </c>
      <c r="L19" s="168">
        <v>0.5</v>
      </c>
      <c r="M19" s="165">
        <v>43617</v>
      </c>
      <c r="N19" s="32">
        <f t="shared" si="0"/>
        <v>0.5</v>
      </c>
      <c r="O19" s="169" t="s">
        <v>256</v>
      </c>
      <c r="P19" s="25" t="s">
        <v>377</v>
      </c>
    </row>
    <row r="20" spans="1:16" ht="31.5">
      <c r="A20" s="144">
        <v>8</v>
      </c>
      <c r="B20" s="38">
        <v>5</v>
      </c>
      <c r="C20" s="162" t="s">
        <v>81</v>
      </c>
      <c r="D20" s="167">
        <v>27921</v>
      </c>
      <c r="E20" s="164" t="s">
        <v>36</v>
      </c>
      <c r="F20" s="164">
        <v>10</v>
      </c>
      <c r="G20" s="164">
        <v>0</v>
      </c>
      <c r="H20" s="168">
        <v>0.7</v>
      </c>
      <c r="I20" s="165">
        <v>41640</v>
      </c>
      <c r="J20" s="166">
        <v>15</v>
      </c>
      <c r="K20" s="166">
        <v>0</v>
      </c>
      <c r="L20" s="166">
        <v>1</v>
      </c>
      <c r="M20" s="376">
        <v>43466</v>
      </c>
      <c r="N20" s="32">
        <f t="shared" si="0"/>
        <v>0.30000000000000004</v>
      </c>
      <c r="O20" s="169" t="s">
        <v>373</v>
      </c>
      <c r="P20" s="25" t="s">
        <v>61</v>
      </c>
    </row>
    <row r="21" spans="1:16" ht="18">
      <c r="A21" s="144"/>
      <c r="B21" s="434" t="s">
        <v>82</v>
      </c>
      <c r="C21" s="434"/>
      <c r="D21" s="434"/>
      <c r="E21" s="434"/>
      <c r="F21" s="434"/>
      <c r="G21" s="434"/>
      <c r="H21" s="168"/>
      <c r="I21" s="454"/>
      <c r="J21" s="166"/>
      <c r="K21" s="166"/>
      <c r="L21" s="166"/>
      <c r="M21" s="166"/>
      <c r="N21" s="32"/>
      <c r="O21" s="169"/>
      <c r="P21" s="25"/>
    </row>
    <row r="22" spans="1:16" ht="31.5">
      <c r="A22" s="144">
        <v>9</v>
      </c>
      <c r="B22" s="38">
        <v>3</v>
      </c>
      <c r="C22" s="162" t="s">
        <v>85</v>
      </c>
      <c r="D22" s="167">
        <v>29445</v>
      </c>
      <c r="E22" s="164" t="s">
        <v>36</v>
      </c>
      <c r="F22" s="164">
        <v>5</v>
      </c>
      <c r="G22" s="164">
        <v>0</v>
      </c>
      <c r="H22" s="168">
        <v>0.5</v>
      </c>
      <c r="I22" s="165">
        <v>41456</v>
      </c>
      <c r="J22" s="322">
        <v>10</v>
      </c>
      <c r="K22" s="166">
        <v>0</v>
      </c>
      <c r="L22" s="166">
        <v>0.7</v>
      </c>
      <c r="M22" s="165">
        <v>43282</v>
      </c>
      <c r="N22" s="32">
        <f t="shared" si="0"/>
        <v>0.19999999999999996</v>
      </c>
      <c r="O22" s="169" t="s">
        <v>373</v>
      </c>
      <c r="P22" s="25" t="s">
        <v>61</v>
      </c>
    </row>
    <row r="23" spans="1:16" ht="31.5">
      <c r="A23" s="144">
        <v>10</v>
      </c>
      <c r="B23" s="38">
        <v>5</v>
      </c>
      <c r="C23" s="162" t="s">
        <v>87</v>
      </c>
      <c r="D23" s="167">
        <v>30380</v>
      </c>
      <c r="E23" s="164" t="s">
        <v>34</v>
      </c>
      <c r="F23" s="164">
        <v>5</v>
      </c>
      <c r="G23" s="164">
        <v>0</v>
      </c>
      <c r="H23" s="168">
        <v>0.5</v>
      </c>
      <c r="I23" s="165">
        <v>41456</v>
      </c>
      <c r="J23" s="166">
        <v>10</v>
      </c>
      <c r="K23" s="166">
        <v>0</v>
      </c>
      <c r="L23" s="166">
        <v>0.7</v>
      </c>
      <c r="M23" s="376">
        <v>43282</v>
      </c>
      <c r="N23" s="32">
        <f t="shared" si="0"/>
        <v>0.19999999999999996</v>
      </c>
      <c r="O23" s="169" t="s">
        <v>373</v>
      </c>
      <c r="P23" s="25"/>
    </row>
    <row r="24" spans="1:16" ht="18">
      <c r="A24" s="144"/>
      <c r="B24" s="434" t="s">
        <v>90</v>
      </c>
      <c r="C24" s="434"/>
      <c r="D24" s="434"/>
      <c r="E24" s="164" t="s">
        <v>69</v>
      </c>
      <c r="F24" s="434"/>
      <c r="G24" s="434"/>
      <c r="H24" s="63"/>
      <c r="I24" s="454"/>
      <c r="J24" s="38"/>
      <c r="K24" s="38"/>
      <c r="L24" s="38"/>
      <c r="M24" s="38"/>
      <c r="N24" s="32"/>
      <c r="O24" s="78"/>
      <c r="P24" s="25"/>
    </row>
    <row r="25" spans="1:16" ht="31.5">
      <c r="A25" s="144">
        <v>11</v>
      </c>
      <c r="B25" s="38">
        <v>2</v>
      </c>
      <c r="C25" s="162" t="s">
        <v>105</v>
      </c>
      <c r="D25" s="163" t="s">
        <v>106</v>
      </c>
      <c r="E25" s="164" t="s">
        <v>36</v>
      </c>
      <c r="F25" s="164">
        <v>10</v>
      </c>
      <c r="G25" s="164">
        <v>0</v>
      </c>
      <c r="H25" s="168">
        <v>0.7</v>
      </c>
      <c r="I25" s="165">
        <v>41640</v>
      </c>
      <c r="J25" s="166">
        <v>15</v>
      </c>
      <c r="K25" s="166">
        <v>0</v>
      </c>
      <c r="L25" s="166">
        <v>1</v>
      </c>
      <c r="M25" s="376">
        <v>43466</v>
      </c>
      <c r="N25" s="32">
        <f t="shared" si="0"/>
        <v>0.30000000000000004</v>
      </c>
      <c r="O25" s="169" t="s">
        <v>373</v>
      </c>
      <c r="P25" s="25" t="s">
        <v>61</v>
      </c>
    </row>
    <row r="26" spans="1:16" ht="18">
      <c r="A26" s="144"/>
      <c r="B26" s="434" t="s">
        <v>108</v>
      </c>
      <c r="C26" s="434"/>
      <c r="D26" s="434"/>
      <c r="E26" s="434"/>
      <c r="F26" s="434"/>
      <c r="G26" s="434"/>
      <c r="H26" s="63"/>
      <c r="I26" s="454"/>
      <c r="J26" s="38"/>
      <c r="K26" s="38"/>
      <c r="L26" s="38"/>
      <c r="M26" s="38"/>
      <c r="N26" s="32"/>
      <c r="O26" s="78"/>
      <c r="P26" s="25"/>
    </row>
    <row r="27" spans="1:16" ht="31.5">
      <c r="A27" s="144">
        <v>12</v>
      </c>
      <c r="B27" s="38">
        <v>2</v>
      </c>
      <c r="C27" s="162" t="s">
        <v>111</v>
      </c>
      <c r="D27" s="163" t="s">
        <v>112</v>
      </c>
      <c r="E27" s="164" t="s">
        <v>38</v>
      </c>
      <c r="F27" s="164">
        <v>5</v>
      </c>
      <c r="G27" s="164">
        <v>0</v>
      </c>
      <c r="H27" s="63">
        <v>0.5</v>
      </c>
      <c r="I27" s="165">
        <v>41456</v>
      </c>
      <c r="J27" s="38">
        <v>10</v>
      </c>
      <c r="K27" s="38">
        <v>0</v>
      </c>
      <c r="L27" s="428">
        <v>0.7</v>
      </c>
      <c r="M27" s="69">
        <v>43282</v>
      </c>
      <c r="N27" s="32">
        <f t="shared" si="0"/>
        <v>0.19999999999999996</v>
      </c>
      <c r="O27" s="169" t="s">
        <v>373</v>
      </c>
      <c r="P27" s="25"/>
    </row>
    <row r="28" spans="1:16" ht="18">
      <c r="A28" s="144"/>
      <c r="B28" s="434" t="s">
        <v>26</v>
      </c>
      <c r="C28" s="434"/>
      <c r="D28" s="434"/>
      <c r="E28" s="434"/>
      <c r="F28" s="434"/>
      <c r="G28" s="434"/>
      <c r="H28" s="63"/>
      <c r="I28" s="454"/>
      <c r="J28" s="517"/>
      <c r="K28" s="144"/>
      <c r="L28" s="144"/>
      <c r="M28" s="38"/>
      <c r="N28" s="32">
        <f t="shared" si="0"/>
        <v>0</v>
      </c>
      <c r="O28" s="78"/>
      <c r="P28" s="25"/>
    </row>
    <row r="29" spans="1:16" ht="31.5">
      <c r="A29" s="144">
        <v>13</v>
      </c>
      <c r="B29" s="38">
        <v>3</v>
      </c>
      <c r="C29" s="162" t="s">
        <v>35</v>
      </c>
      <c r="D29" s="167">
        <v>28370</v>
      </c>
      <c r="E29" s="164" t="s">
        <v>36</v>
      </c>
      <c r="F29" s="164">
        <v>5</v>
      </c>
      <c r="G29" s="164">
        <v>0</v>
      </c>
      <c r="H29" s="63">
        <v>0.5</v>
      </c>
      <c r="I29" s="165">
        <v>41456</v>
      </c>
      <c r="J29" s="38">
        <v>10</v>
      </c>
      <c r="K29" s="38">
        <v>0</v>
      </c>
      <c r="L29" s="38">
        <v>0.7</v>
      </c>
      <c r="M29" s="69">
        <v>43282</v>
      </c>
      <c r="N29" s="32">
        <f t="shared" si="0"/>
        <v>0.19999999999999996</v>
      </c>
      <c r="O29" s="169" t="s">
        <v>373</v>
      </c>
      <c r="P29" s="25"/>
    </row>
    <row r="30" spans="1:16" ht="18">
      <c r="A30" s="144"/>
      <c r="B30" s="434" t="s">
        <v>124</v>
      </c>
      <c r="C30" s="434"/>
      <c r="D30" s="434"/>
      <c r="E30" s="434"/>
      <c r="F30" s="434"/>
      <c r="G30" s="434"/>
      <c r="H30" s="63"/>
      <c r="I30" s="454"/>
      <c r="J30" s="38"/>
      <c r="K30" s="38"/>
      <c r="L30" s="38"/>
      <c r="M30" s="38"/>
      <c r="N30" s="32">
        <f t="shared" si="0"/>
        <v>0</v>
      </c>
      <c r="O30" s="78"/>
      <c r="P30" s="25"/>
    </row>
    <row r="31" spans="1:16" ht="18">
      <c r="A31" s="144">
        <v>14</v>
      </c>
      <c r="B31" s="38">
        <v>1</v>
      </c>
      <c r="C31" s="162" t="s">
        <v>30</v>
      </c>
      <c r="D31" s="167">
        <v>25819</v>
      </c>
      <c r="E31" s="164" t="s">
        <v>31</v>
      </c>
      <c r="F31" s="164"/>
      <c r="G31" s="164"/>
      <c r="H31" s="63"/>
      <c r="I31" s="165"/>
      <c r="J31" s="38">
        <v>6</v>
      </c>
      <c r="K31" s="38">
        <v>5</v>
      </c>
      <c r="L31" s="38">
        <v>0.5</v>
      </c>
      <c r="M31" s="69">
        <v>43466</v>
      </c>
      <c r="N31" s="32">
        <f t="shared" si="0"/>
        <v>0.5</v>
      </c>
      <c r="O31" s="169" t="s">
        <v>256</v>
      </c>
      <c r="P31" s="25" t="s">
        <v>61</v>
      </c>
    </row>
    <row r="32" spans="1:16" ht="18">
      <c r="A32" s="144">
        <v>15</v>
      </c>
      <c r="B32" s="38">
        <v>2</v>
      </c>
      <c r="C32" s="162" t="s">
        <v>127</v>
      </c>
      <c r="D32" s="167">
        <v>30646</v>
      </c>
      <c r="E32" s="164" t="s">
        <v>34</v>
      </c>
      <c r="F32" s="164"/>
      <c r="G32" s="164"/>
      <c r="H32" s="63"/>
      <c r="I32" s="165"/>
      <c r="J32" s="38">
        <v>6</v>
      </c>
      <c r="K32" s="38"/>
      <c r="L32" s="38">
        <v>0.5</v>
      </c>
      <c r="M32" s="131">
        <v>43466</v>
      </c>
      <c r="N32" s="32">
        <f t="shared" si="0"/>
        <v>0.5</v>
      </c>
      <c r="O32" s="169" t="s">
        <v>256</v>
      </c>
      <c r="P32" s="25"/>
    </row>
    <row r="33" spans="1:17" ht="18">
      <c r="A33" s="144"/>
      <c r="B33" s="1174" t="s">
        <v>131</v>
      </c>
      <c r="C33" s="1174"/>
      <c r="D33" s="1174"/>
      <c r="E33" s="457"/>
      <c r="F33" s="457"/>
      <c r="G33" s="457"/>
      <c r="H33" s="458"/>
      <c r="I33" s="459"/>
      <c r="J33" s="460"/>
      <c r="K33" s="457"/>
      <c r="L33" s="460"/>
      <c r="M33" s="457"/>
      <c r="N33" s="32"/>
      <c r="O33" s="461"/>
      <c r="P33" s="25"/>
    </row>
    <row r="34" spans="1:17" ht="31.5">
      <c r="A34" s="144">
        <v>16</v>
      </c>
      <c r="B34" s="38">
        <v>1</v>
      </c>
      <c r="C34" s="162" t="s">
        <v>132</v>
      </c>
      <c r="D34" s="163" t="s">
        <v>133</v>
      </c>
      <c r="E34" s="164" t="s">
        <v>60</v>
      </c>
      <c r="F34" s="164">
        <v>10</v>
      </c>
      <c r="G34" s="164">
        <v>0</v>
      </c>
      <c r="H34" s="64">
        <v>0.7</v>
      </c>
      <c r="I34" s="165">
        <v>41699</v>
      </c>
      <c r="J34" s="38">
        <v>15</v>
      </c>
      <c r="K34" s="38">
        <v>0</v>
      </c>
      <c r="L34" s="38">
        <v>1</v>
      </c>
      <c r="M34" s="69">
        <v>43525</v>
      </c>
      <c r="N34" s="32">
        <f t="shared" si="0"/>
        <v>0.30000000000000004</v>
      </c>
      <c r="O34" s="169" t="s">
        <v>373</v>
      </c>
      <c r="P34" s="25"/>
    </row>
    <row r="35" spans="1:17" ht="31.5">
      <c r="A35" s="144">
        <v>17</v>
      </c>
      <c r="B35" s="38">
        <v>2</v>
      </c>
      <c r="C35" s="162" t="s">
        <v>134</v>
      </c>
      <c r="D35" s="167">
        <v>31358</v>
      </c>
      <c r="E35" s="164" t="s">
        <v>29</v>
      </c>
      <c r="F35" s="164">
        <v>5</v>
      </c>
      <c r="G35" s="164">
        <v>0</v>
      </c>
      <c r="H35" s="63">
        <v>0.5</v>
      </c>
      <c r="I35" s="165">
        <v>41456</v>
      </c>
      <c r="J35" s="38">
        <v>10</v>
      </c>
      <c r="K35" s="38">
        <v>0</v>
      </c>
      <c r="L35" s="38">
        <v>0.7</v>
      </c>
      <c r="M35" s="69">
        <v>43282</v>
      </c>
      <c r="N35" s="32">
        <f t="shared" si="0"/>
        <v>0.19999999999999996</v>
      </c>
      <c r="O35" s="169" t="s">
        <v>373</v>
      </c>
      <c r="P35" s="25"/>
    </row>
    <row r="36" spans="1:17" ht="31.5">
      <c r="A36" s="144">
        <v>18</v>
      </c>
      <c r="B36" s="38">
        <v>4</v>
      </c>
      <c r="C36" s="162" t="s">
        <v>136</v>
      </c>
      <c r="D36" s="163" t="s">
        <v>137</v>
      </c>
      <c r="E36" s="164" t="s">
        <v>36</v>
      </c>
      <c r="F36" s="164">
        <v>5</v>
      </c>
      <c r="G36" s="164">
        <v>0</v>
      </c>
      <c r="H36" s="63">
        <v>0.5</v>
      </c>
      <c r="I36" s="165">
        <v>41456</v>
      </c>
      <c r="J36" s="38">
        <v>10</v>
      </c>
      <c r="K36" s="38">
        <v>0</v>
      </c>
      <c r="L36" s="38">
        <v>0.7</v>
      </c>
      <c r="M36" s="69">
        <v>43282</v>
      </c>
      <c r="N36" s="32">
        <f t="shared" si="0"/>
        <v>0.19999999999999996</v>
      </c>
      <c r="O36" s="169" t="s">
        <v>373</v>
      </c>
      <c r="P36" s="25"/>
    </row>
    <row r="37" spans="1:17" ht="31.5">
      <c r="A37" s="144">
        <v>19</v>
      </c>
      <c r="B37" s="38">
        <v>5</v>
      </c>
      <c r="C37" s="162" t="s">
        <v>138</v>
      </c>
      <c r="D37" s="167">
        <v>28216</v>
      </c>
      <c r="E37" s="164" t="s">
        <v>38</v>
      </c>
      <c r="F37" s="164">
        <v>5</v>
      </c>
      <c r="G37" s="164">
        <v>0</v>
      </c>
      <c r="H37" s="63">
        <v>0.5</v>
      </c>
      <c r="I37" s="165">
        <v>41456</v>
      </c>
      <c r="J37" s="38">
        <v>10</v>
      </c>
      <c r="K37" s="38">
        <v>0</v>
      </c>
      <c r="L37" s="38">
        <v>0.7</v>
      </c>
      <c r="M37" s="69">
        <v>43282</v>
      </c>
      <c r="N37" s="32">
        <f t="shared" si="0"/>
        <v>0.19999999999999996</v>
      </c>
      <c r="O37" s="169" t="s">
        <v>373</v>
      </c>
      <c r="P37" s="25"/>
    </row>
    <row r="38" spans="1:17" ht="18">
      <c r="A38" s="144"/>
      <c r="B38" s="462" t="s">
        <v>139</v>
      </c>
      <c r="C38" s="434"/>
      <c r="D38" s="434"/>
      <c r="E38" s="463"/>
      <c r="F38" s="463"/>
      <c r="G38" s="463"/>
      <c r="H38" s="63"/>
      <c r="I38" s="464"/>
      <c r="J38" s="38"/>
      <c r="K38" s="38"/>
      <c r="L38" s="38"/>
      <c r="M38" s="38"/>
      <c r="N38" s="32"/>
      <c r="O38" s="78"/>
      <c r="P38" s="25"/>
    </row>
    <row r="39" spans="1:17" ht="31.5">
      <c r="A39" s="144">
        <v>20</v>
      </c>
      <c r="B39" s="38">
        <v>4</v>
      </c>
      <c r="C39" s="162" t="s">
        <v>143</v>
      </c>
      <c r="D39" s="163" t="s">
        <v>144</v>
      </c>
      <c r="E39" s="164" t="s">
        <v>38</v>
      </c>
      <c r="F39" s="164">
        <v>5</v>
      </c>
      <c r="G39" s="164">
        <v>0</v>
      </c>
      <c r="H39" s="63">
        <v>0.5</v>
      </c>
      <c r="I39" s="165">
        <v>41456</v>
      </c>
      <c r="J39" s="166">
        <v>10</v>
      </c>
      <c r="K39" s="166">
        <v>0</v>
      </c>
      <c r="L39" s="166">
        <v>0.7</v>
      </c>
      <c r="M39" s="376">
        <v>43282</v>
      </c>
      <c r="N39" s="32">
        <f t="shared" si="0"/>
        <v>0.19999999999999996</v>
      </c>
      <c r="O39" s="169" t="s">
        <v>373</v>
      </c>
      <c r="P39" s="25"/>
    </row>
    <row r="40" spans="1:17" ht="31.5">
      <c r="A40" s="144">
        <v>21</v>
      </c>
      <c r="B40" s="38">
        <v>6</v>
      </c>
      <c r="C40" s="162" t="s">
        <v>145</v>
      </c>
      <c r="D40" s="167">
        <v>30597</v>
      </c>
      <c r="E40" s="164" t="s">
        <v>36</v>
      </c>
      <c r="F40" s="164">
        <v>5</v>
      </c>
      <c r="G40" s="164">
        <v>0</v>
      </c>
      <c r="H40" s="63">
        <v>0.5</v>
      </c>
      <c r="I40" s="165">
        <v>41456</v>
      </c>
      <c r="J40" s="166">
        <v>10</v>
      </c>
      <c r="K40" s="166">
        <v>0</v>
      </c>
      <c r="L40" s="166">
        <v>0.7</v>
      </c>
      <c r="M40" s="376">
        <v>43282</v>
      </c>
      <c r="N40" s="32">
        <f t="shared" si="0"/>
        <v>0.19999999999999996</v>
      </c>
      <c r="O40" s="169" t="s">
        <v>373</v>
      </c>
      <c r="P40" s="25" t="s">
        <v>61</v>
      </c>
    </row>
    <row r="41" spans="1:17" ht="18">
      <c r="A41" s="518" t="s">
        <v>69</v>
      </c>
      <c r="B41" s="1175" t="s">
        <v>39</v>
      </c>
      <c r="C41" s="1175"/>
      <c r="D41" s="508"/>
      <c r="E41" s="508"/>
      <c r="F41" s="508"/>
      <c r="G41" s="508"/>
      <c r="H41" s="465" t="s">
        <v>69</v>
      </c>
      <c r="I41" s="466"/>
      <c r="J41" s="508"/>
      <c r="K41" s="508"/>
      <c r="L41" s="508"/>
      <c r="M41" s="508"/>
      <c r="N41" s="437">
        <f>SUM(N11:N40)</f>
        <v>6.0000000000000009</v>
      </c>
      <c r="O41" s="467"/>
    </row>
    <row r="42" spans="1:17" ht="18">
      <c r="B42" s="547"/>
      <c r="C42" s="547" t="s">
        <v>379</v>
      </c>
      <c r="D42" s="547"/>
      <c r="E42" s="468"/>
      <c r="F42" s="468"/>
      <c r="G42" s="468"/>
      <c r="H42" s="469"/>
      <c r="I42" s="470"/>
      <c r="J42" s="1171" t="s">
        <v>380</v>
      </c>
      <c r="K42" s="1171"/>
      <c r="L42" s="1171"/>
      <c r="M42" s="1171"/>
      <c r="N42" s="1171"/>
      <c r="O42" s="1172"/>
    </row>
    <row r="43" spans="1:17" s="788" customFormat="1" ht="21.75" customHeight="1">
      <c r="A43" s="105"/>
      <c r="B43" s="784"/>
      <c r="C43" s="1165" t="s">
        <v>381</v>
      </c>
      <c r="D43" s="1165"/>
      <c r="E43" s="1165"/>
      <c r="F43" s="785"/>
      <c r="G43" s="785"/>
      <c r="H43" s="445"/>
      <c r="I43" s="786"/>
      <c r="J43" s="1166" t="s">
        <v>42</v>
      </c>
      <c r="K43" s="1166"/>
      <c r="L43" s="1166"/>
      <c r="M43" s="1166"/>
      <c r="N43" s="1166"/>
      <c r="O43" s="787"/>
      <c r="P43" s="787"/>
      <c r="Q43" s="787"/>
    </row>
    <row r="44" spans="1:17" s="516" customFormat="1" ht="21.75" customHeight="1">
      <c r="A44" s="1162" t="s">
        <v>43</v>
      </c>
      <c r="B44" s="1162"/>
      <c r="C44" s="1162"/>
      <c r="D44" s="511"/>
      <c r="E44" s="512" t="s">
        <v>366</v>
      </c>
      <c r="F44" s="512"/>
      <c r="G44" s="512"/>
      <c r="H44" s="513"/>
      <c r="I44" s="1163" t="s">
        <v>45</v>
      </c>
      <c r="J44" s="1163"/>
      <c r="K44" s="1163"/>
      <c r="L44" s="514"/>
      <c r="M44" s="1164" t="s">
        <v>43</v>
      </c>
      <c r="N44" s="1164"/>
      <c r="O44" s="1164"/>
      <c r="P44" s="515"/>
    </row>
    <row r="45" spans="1:17" s="446" customFormat="1" ht="18">
      <c r="A45" s="142"/>
      <c r="B45" s="398"/>
      <c r="C45" s="439"/>
      <c r="D45" s="438"/>
      <c r="E45" s="440"/>
      <c r="F45" s="440"/>
      <c r="G45" s="440"/>
      <c r="H45" s="441"/>
      <c r="I45" s="442"/>
      <c r="J45" s="443"/>
      <c r="K45" s="443"/>
      <c r="L45" s="443"/>
      <c r="M45" s="444"/>
      <c r="N45" s="399"/>
      <c r="O45" s="445"/>
      <c r="P45" s="399"/>
    </row>
    <row r="46" spans="1:17" s="446" customFormat="1" ht="18">
      <c r="A46" s="142"/>
      <c r="B46" s="398"/>
      <c r="C46" s="439"/>
      <c r="D46" s="438"/>
      <c r="E46" s="440"/>
      <c r="F46" s="440"/>
      <c r="G46" s="440"/>
      <c r="H46" s="441"/>
      <c r="I46" s="442"/>
      <c r="J46" s="443"/>
      <c r="K46" s="443"/>
      <c r="L46" s="443"/>
      <c r="M46" s="444"/>
      <c r="N46" s="399"/>
      <c r="O46" s="445"/>
      <c r="P46" s="399"/>
    </row>
    <row r="47" spans="1:17" s="446" customFormat="1" ht="18">
      <c r="A47" s="142"/>
      <c r="B47" s="398"/>
      <c r="C47" s="439"/>
      <c r="D47" s="438"/>
      <c r="E47" s="440"/>
      <c r="F47" s="440"/>
      <c r="G47" s="440"/>
      <c r="H47" s="441"/>
      <c r="I47" s="442"/>
      <c r="J47" s="443"/>
      <c r="K47" s="443"/>
      <c r="L47" s="443"/>
      <c r="M47" s="444"/>
      <c r="N47" s="399"/>
      <c r="O47" s="445"/>
      <c r="P47" s="399"/>
    </row>
    <row r="48" spans="1:17" s="446" customFormat="1" ht="18">
      <c r="A48" s="142"/>
      <c r="B48" s="398"/>
      <c r="C48" s="439"/>
      <c r="D48" s="438"/>
      <c r="E48" s="440"/>
      <c r="F48" s="440"/>
      <c r="G48" s="440"/>
      <c r="H48" s="441"/>
      <c r="I48" s="442"/>
      <c r="J48" s="443"/>
      <c r="K48" s="443"/>
      <c r="L48" s="443"/>
      <c r="M48" s="444"/>
      <c r="N48" s="399"/>
      <c r="O48" s="445"/>
      <c r="P48" s="399"/>
    </row>
    <row r="49" spans="1:15" s="486" customFormat="1" ht="38.25" customHeight="1">
      <c r="A49" s="1159" t="s">
        <v>46</v>
      </c>
      <c r="B49" s="1159"/>
      <c r="C49" s="1159"/>
      <c r="D49" s="447"/>
      <c r="E49" s="484" t="s">
        <v>356</v>
      </c>
      <c r="F49" s="484"/>
      <c r="G49" s="484"/>
      <c r="H49" s="485"/>
      <c r="I49" s="1160" t="s">
        <v>382</v>
      </c>
      <c r="J49" s="1160"/>
      <c r="K49" s="1160"/>
      <c r="L49" s="1160"/>
      <c r="M49" s="1161" t="s">
        <v>49</v>
      </c>
      <c r="N49" s="1161"/>
      <c r="O49" s="1161"/>
    </row>
    <row r="60" spans="1:15">
      <c r="A60" s="339"/>
    </row>
    <row r="61" spans="1:15">
      <c r="A61" s="339"/>
    </row>
    <row r="70" spans="1:16" ht="18">
      <c r="B70" s="471" t="s">
        <v>90</v>
      </c>
      <c r="C70" s="472"/>
      <c r="D70" s="472"/>
      <c r="E70" s="472"/>
      <c r="F70" s="472"/>
      <c r="G70" s="472"/>
      <c r="H70" s="473"/>
      <c r="I70" s="474"/>
      <c r="J70" s="475"/>
      <c r="K70" s="472"/>
      <c r="L70" s="475"/>
      <c r="M70" s="472"/>
      <c r="N70" s="24"/>
      <c r="O70" s="476"/>
      <c r="P70" s="25"/>
    </row>
    <row r="71" spans="1:16" ht="18">
      <c r="A71" s="446"/>
      <c r="B71" s="161">
        <v>2</v>
      </c>
      <c r="C71" s="162" t="s">
        <v>141</v>
      </c>
      <c r="D71" s="167">
        <v>32545</v>
      </c>
      <c r="E71" s="164" t="s">
        <v>29</v>
      </c>
      <c r="F71" s="164"/>
      <c r="G71" s="164"/>
      <c r="H71" s="63"/>
      <c r="I71" s="165"/>
      <c r="J71" s="38"/>
      <c r="K71" s="38"/>
      <c r="L71" s="38"/>
      <c r="M71" s="38"/>
      <c r="N71" s="32"/>
      <c r="O71" s="78" t="s">
        <v>142</v>
      </c>
      <c r="P71" s="25"/>
    </row>
    <row r="72" spans="1:16" s="339" customFormat="1" ht="18">
      <c r="A72" s="446"/>
      <c r="B72" s="161">
        <v>2</v>
      </c>
      <c r="C72" s="477" t="s">
        <v>115</v>
      </c>
      <c r="D72" s="163" t="s">
        <v>116</v>
      </c>
      <c r="E72" s="478" t="s">
        <v>31</v>
      </c>
      <c r="F72" s="478"/>
      <c r="G72" s="478"/>
      <c r="H72" s="479"/>
      <c r="I72" s="480"/>
      <c r="J72" s="481"/>
      <c r="K72" s="481"/>
      <c r="L72" s="481"/>
      <c r="M72" s="481"/>
      <c r="N72" s="88"/>
      <c r="O72" s="482" t="s">
        <v>117</v>
      </c>
      <c r="P72" s="90" t="s">
        <v>61</v>
      </c>
    </row>
    <row r="73" spans="1:16" s="339" customFormat="1" ht="18">
      <c r="A73" s="446"/>
      <c r="B73" s="161">
        <v>5</v>
      </c>
      <c r="C73" s="477" t="s">
        <v>37</v>
      </c>
      <c r="D73" s="167">
        <v>26917</v>
      </c>
      <c r="E73" s="478" t="s">
        <v>38</v>
      </c>
      <c r="F73" s="478"/>
      <c r="G73" s="478"/>
      <c r="H73" s="479"/>
      <c r="I73" s="480"/>
      <c r="J73" s="481"/>
      <c r="K73" s="481"/>
      <c r="L73" s="481"/>
      <c r="M73" s="481"/>
      <c r="N73" s="88"/>
      <c r="O73" s="482" t="s">
        <v>117</v>
      </c>
      <c r="P73" s="90" t="s">
        <v>118</v>
      </c>
    </row>
    <row r="74" spans="1:16" ht="18">
      <c r="B74" s="161">
        <v>6</v>
      </c>
      <c r="C74" s="162" t="s">
        <v>129</v>
      </c>
      <c r="D74" s="163" t="s">
        <v>130</v>
      </c>
      <c r="E74" s="164" t="s">
        <v>36</v>
      </c>
      <c r="F74" s="164"/>
      <c r="G74" s="164"/>
      <c r="H74" s="168"/>
      <c r="I74" s="165"/>
      <c r="J74" s="166"/>
      <c r="K74" s="166"/>
      <c r="L74" s="166"/>
      <c r="M74" s="166"/>
      <c r="N74" s="32"/>
      <c r="O74" s="169"/>
      <c r="P74" s="25" t="s">
        <v>61</v>
      </c>
    </row>
    <row r="75" spans="1:16" ht="18">
      <c r="B75" s="161">
        <v>42</v>
      </c>
      <c r="C75" s="162" t="s">
        <v>147</v>
      </c>
      <c r="D75" s="163" t="s">
        <v>148</v>
      </c>
      <c r="E75" s="164" t="s">
        <v>29</v>
      </c>
      <c r="F75" s="164"/>
      <c r="G75" s="164"/>
      <c r="H75" s="64">
        <v>1</v>
      </c>
      <c r="I75" s="165"/>
      <c r="J75" s="38"/>
      <c r="K75" s="38"/>
      <c r="L75" s="38"/>
      <c r="M75" s="38"/>
      <c r="N75" s="32"/>
      <c r="O75" s="483"/>
    </row>
  </sheetData>
  <mergeCells count="34">
    <mergeCell ref="A6:A9"/>
    <mergeCell ref="K8:K9"/>
    <mergeCell ref="B6:B9"/>
    <mergeCell ref="F8:F9"/>
    <mergeCell ref="G8:G9"/>
    <mergeCell ref="H8:H9"/>
    <mergeCell ref="I8:I9"/>
    <mergeCell ref="J8:J9"/>
    <mergeCell ref="B1:C1"/>
    <mergeCell ref="I1:O1"/>
    <mergeCell ref="I2:O2"/>
    <mergeCell ref="B4:O4"/>
    <mergeCell ref="B5:O5"/>
    <mergeCell ref="C43:E43"/>
    <mergeCell ref="J43:N43"/>
    <mergeCell ref="C6:C9"/>
    <mergeCell ref="D6:D9"/>
    <mergeCell ref="E6:E9"/>
    <mergeCell ref="F6:M6"/>
    <mergeCell ref="J42:O42"/>
    <mergeCell ref="L8:L9"/>
    <mergeCell ref="M8:M9"/>
    <mergeCell ref="B33:D33"/>
    <mergeCell ref="B41:C41"/>
    <mergeCell ref="N6:N9"/>
    <mergeCell ref="O6:O9"/>
    <mergeCell ref="F7:I7"/>
    <mergeCell ref="J7:M7"/>
    <mergeCell ref="A49:C49"/>
    <mergeCell ref="I49:L49"/>
    <mergeCell ref="M49:O49"/>
    <mergeCell ref="A44:C44"/>
    <mergeCell ref="I44:K44"/>
    <mergeCell ref="M44:O44"/>
  </mergeCells>
  <pageMargins left="0.24" right="0.19" top="0.2" bottom="0.36" header="0.2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4"/>
  <sheetViews>
    <sheetView topLeftCell="A7" workbookViewId="0">
      <selection activeCell="K15" sqref="K15"/>
    </sheetView>
  </sheetViews>
  <sheetFormatPr defaultColWidth="9" defaultRowHeight="15"/>
  <cols>
    <col min="1" max="1" width="3.140625" style="13" customWidth="1"/>
    <col min="2" max="2" width="15.5703125" style="13" customWidth="1"/>
    <col min="3" max="3" width="11.28515625" style="13" customWidth="1"/>
    <col min="4" max="4" width="9.42578125" style="13" customWidth="1"/>
    <col min="5" max="5" width="7.42578125" style="13" customWidth="1"/>
    <col min="6" max="6" width="2.7109375" style="13" customWidth="1"/>
    <col min="7" max="7" width="6.5703125" style="13" customWidth="1"/>
    <col min="8" max="8" width="5.42578125" style="13" customWidth="1"/>
    <col min="9" max="10" width="4.28515625" style="13" customWidth="1"/>
    <col min="11" max="11" width="7.5703125" style="13" customWidth="1"/>
    <col min="12" max="12" width="4.42578125" style="13" customWidth="1"/>
    <col min="13" max="13" width="5" style="13" customWidth="1"/>
    <col min="14" max="14" width="4.42578125" style="13" customWidth="1"/>
    <col min="15" max="15" width="5.42578125" style="13" customWidth="1"/>
    <col min="16" max="16" width="5.85546875" style="13" customWidth="1"/>
    <col min="17" max="17" width="9.42578125" style="13" customWidth="1"/>
    <col min="18" max="18" width="7.7109375" style="13" customWidth="1"/>
    <col min="19" max="19" width="14.5703125" style="13" customWidth="1"/>
    <col min="20" max="20" width="10.28515625" style="13" customWidth="1"/>
    <col min="21" max="16384" width="9" style="13"/>
  </cols>
  <sheetData>
    <row r="1" spans="1:22" ht="18.75">
      <c r="A1" s="1187" t="s">
        <v>0</v>
      </c>
      <c r="B1" s="1187"/>
      <c r="C1" s="1187"/>
      <c r="D1" s="1187"/>
      <c r="E1" s="134"/>
      <c r="F1" s="134"/>
      <c r="G1" s="134"/>
      <c r="H1" s="134"/>
      <c r="I1" s="134"/>
      <c r="J1" s="134"/>
      <c r="K1" s="1121" t="s">
        <v>236</v>
      </c>
      <c r="L1" s="1121"/>
      <c r="M1" s="1121"/>
      <c r="N1" s="1121"/>
      <c r="O1" s="1121"/>
      <c r="P1" s="1121"/>
      <c r="Q1" s="1121"/>
      <c r="R1" s="1121"/>
      <c r="S1" s="1121"/>
    </row>
    <row r="2" spans="1:22" ht="18.75">
      <c r="A2" s="1121" t="s">
        <v>42</v>
      </c>
      <c r="B2" s="1121"/>
      <c r="C2" s="1121"/>
      <c r="D2" s="1121"/>
      <c r="E2" s="134"/>
      <c r="F2" s="134"/>
      <c r="G2" s="134"/>
      <c r="H2" s="134"/>
      <c r="I2" s="134"/>
      <c r="J2" s="134"/>
      <c r="K2" s="1188" t="s">
        <v>237</v>
      </c>
      <c r="L2" s="1188"/>
      <c r="M2" s="1188"/>
      <c r="N2" s="1188"/>
      <c r="O2" s="1188"/>
      <c r="P2" s="1188"/>
      <c r="Q2" s="1188"/>
      <c r="R2" s="1188"/>
      <c r="S2" s="1188"/>
    </row>
    <row r="3" spans="1:22" ht="14.25" customHeight="1">
      <c r="A3" s="134"/>
      <c r="B3" s="134"/>
      <c r="C3" s="134"/>
      <c r="D3" s="134"/>
      <c r="E3" s="134"/>
      <c r="F3" s="134"/>
      <c r="G3" s="134"/>
      <c r="H3" s="292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22" ht="14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22" ht="17.25" customHeight="1">
      <c r="A5" s="1121" t="s">
        <v>439</v>
      </c>
      <c r="B5" s="1121"/>
      <c r="C5" s="1121"/>
      <c r="D5" s="1121"/>
      <c r="E5" s="1121"/>
      <c r="F5" s="1121"/>
      <c r="G5" s="1121"/>
      <c r="H5" s="1121"/>
      <c r="I5" s="1121"/>
      <c r="J5" s="1121"/>
      <c r="K5" s="1121"/>
      <c r="L5" s="1121"/>
      <c r="M5" s="1121"/>
      <c r="N5" s="1121"/>
      <c r="O5" s="1121"/>
      <c r="P5" s="1121"/>
      <c r="Q5" s="1121"/>
      <c r="R5" s="1121"/>
      <c r="S5" s="1121"/>
    </row>
    <row r="6" spans="1:22" ht="14.2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22" s="130" customFormat="1" ht="23.25" customHeight="1">
      <c r="A7" s="1115" t="s">
        <v>51</v>
      </c>
      <c r="B7" s="1115" t="s">
        <v>6</v>
      </c>
      <c r="C7" s="1115" t="s">
        <v>7</v>
      </c>
      <c r="D7" s="1118" t="s">
        <v>8</v>
      </c>
      <c r="E7" s="1118" t="s">
        <v>9</v>
      </c>
      <c r="F7" s="1130" t="s">
        <v>238</v>
      </c>
      <c r="G7" s="1131"/>
      <c r="H7" s="1131"/>
      <c r="I7" s="1131"/>
      <c r="J7" s="1131"/>
      <c r="K7" s="1131"/>
      <c r="L7" s="1131"/>
      <c r="M7" s="1131"/>
      <c r="N7" s="1131"/>
      <c r="O7" s="1131"/>
      <c r="P7" s="1132"/>
      <c r="Q7" s="1115" t="s">
        <v>246</v>
      </c>
      <c r="R7" s="1126" t="s">
        <v>161</v>
      </c>
      <c r="S7" s="1115" t="s">
        <v>247</v>
      </c>
      <c r="T7" s="1115" t="s">
        <v>13</v>
      </c>
    </row>
    <row r="8" spans="1:22" s="130" customFormat="1" ht="33" customHeight="1">
      <c r="A8" s="1116"/>
      <c r="B8" s="1116"/>
      <c r="C8" s="1116"/>
      <c r="D8" s="1119"/>
      <c r="E8" s="1119"/>
      <c r="F8" s="1117" t="s">
        <v>305</v>
      </c>
      <c r="G8" s="1117"/>
      <c r="H8" s="1124" t="s">
        <v>14</v>
      </c>
      <c r="I8" s="1124" t="s">
        <v>15</v>
      </c>
      <c r="J8" s="1133" t="s">
        <v>16</v>
      </c>
      <c r="K8" s="1133"/>
      <c r="L8" s="1133" t="s">
        <v>17</v>
      </c>
      <c r="M8" s="1133"/>
      <c r="N8" s="1124" t="s">
        <v>212</v>
      </c>
      <c r="O8" s="1124" t="s">
        <v>239</v>
      </c>
      <c r="P8" s="1124" t="s">
        <v>150</v>
      </c>
      <c r="Q8" s="1116"/>
      <c r="R8" s="1127"/>
      <c r="S8" s="1116"/>
      <c r="T8" s="1116"/>
    </row>
    <row r="9" spans="1:22" s="130" customFormat="1" ht="33" customHeight="1">
      <c r="A9" s="1117"/>
      <c r="B9" s="1117"/>
      <c r="C9" s="1117"/>
      <c r="D9" s="1120"/>
      <c r="E9" s="1120"/>
      <c r="F9" s="155" t="s">
        <v>24</v>
      </c>
      <c r="G9" s="155" t="s">
        <v>9</v>
      </c>
      <c r="H9" s="1120"/>
      <c r="I9" s="1120"/>
      <c r="J9" s="155" t="s">
        <v>24</v>
      </c>
      <c r="K9" s="155" t="s">
        <v>9</v>
      </c>
      <c r="L9" s="155" t="s">
        <v>24</v>
      </c>
      <c r="M9" s="155" t="s">
        <v>9</v>
      </c>
      <c r="N9" s="1120"/>
      <c r="O9" s="1120"/>
      <c r="P9" s="1120"/>
      <c r="Q9" s="1117"/>
      <c r="R9" s="1128"/>
      <c r="S9" s="1117"/>
      <c r="T9" s="1117"/>
    </row>
    <row r="10" spans="1:22" s="339" customFormat="1" ht="21.75" customHeight="1">
      <c r="A10" s="517">
        <v>2</v>
      </c>
      <c r="B10" s="495" t="s">
        <v>357</v>
      </c>
      <c r="C10" s="496">
        <v>21367</v>
      </c>
      <c r="D10" s="497" t="s">
        <v>359</v>
      </c>
      <c r="E10" s="498">
        <v>6.78</v>
      </c>
      <c r="F10" s="497">
        <v>8</v>
      </c>
      <c r="G10" s="499">
        <f>SUM(E10)*F10%</f>
        <v>0.54239999999999999</v>
      </c>
      <c r="H10" s="497">
        <v>0.6</v>
      </c>
      <c r="I10" s="497">
        <v>0.3</v>
      </c>
      <c r="J10" s="497">
        <v>40</v>
      </c>
      <c r="K10" s="500">
        <f>SUM(E10+G10+H10)*J10%</f>
        <v>3.1689600000000002</v>
      </c>
      <c r="L10" s="494"/>
      <c r="M10" s="494"/>
      <c r="N10" s="497">
        <v>0.2</v>
      </c>
      <c r="O10" s="497">
        <v>0.4</v>
      </c>
      <c r="P10" s="494"/>
      <c r="Q10" s="676">
        <f t="shared" ref="Q10:Q11" si="0">(P10+O10+K10+I10+H10+G10+E10)</f>
        <v>11.791360000000001</v>
      </c>
      <c r="R10" s="669">
        <f>E10*24%</f>
        <v>1.6272</v>
      </c>
      <c r="S10" s="670">
        <f>(R10+Q10)*1390000</f>
        <v>18651798.400000002</v>
      </c>
      <c r="T10" s="502" t="s">
        <v>363</v>
      </c>
    </row>
    <row r="11" spans="1:22" s="506" customFormat="1" ht="21.75" customHeight="1">
      <c r="A11" s="356">
        <v>3</v>
      </c>
      <c r="B11" s="503" t="s">
        <v>358</v>
      </c>
      <c r="C11" s="501" t="s">
        <v>360</v>
      </c>
      <c r="D11" s="501" t="s">
        <v>31</v>
      </c>
      <c r="E11" s="504">
        <v>4.9800000000000004</v>
      </c>
      <c r="F11" s="501"/>
      <c r="G11" s="501"/>
      <c r="H11" s="501">
        <v>0.4</v>
      </c>
      <c r="I11" s="501">
        <v>0.3</v>
      </c>
      <c r="J11" s="501">
        <v>70</v>
      </c>
      <c r="K11" s="500">
        <f>SUM(E11+G11+H11)*J11%</f>
        <v>3.7660000000000005</v>
      </c>
      <c r="L11" s="497"/>
      <c r="M11" s="505"/>
      <c r="N11" s="505"/>
      <c r="O11" s="501"/>
      <c r="P11" s="501"/>
      <c r="Q11" s="675">
        <f t="shared" si="0"/>
        <v>9.4460000000000015</v>
      </c>
      <c r="R11" s="669">
        <f>E11*24%</f>
        <v>1.1952</v>
      </c>
      <c r="S11" s="670">
        <f>(R11+Q11)*1390000</f>
        <v>14791268.000000002</v>
      </c>
      <c r="T11" s="502" t="s">
        <v>363</v>
      </c>
      <c r="U11" s="340"/>
    </row>
    <row r="12" spans="1:22" s="122" customFormat="1" ht="18">
      <c r="A12" s="366"/>
      <c r="B12" s="367"/>
      <c r="C12" s="368"/>
      <c r="D12" s="550"/>
      <c r="E12" s="672">
        <f t="shared" ref="E12:K12" si="1">SUM(E10:E11)</f>
        <v>11.760000000000002</v>
      </c>
      <c r="F12" s="369">
        <f t="shared" si="1"/>
        <v>8</v>
      </c>
      <c r="G12" s="369">
        <f t="shared" si="1"/>
        <v>0.54239999999999999</v>
      </c>
      <c r="H12" s="330">
        <f t="shared" si="1"/>
        <v>1</v>
      </c>
      <c r="I12" s="330">
        <f t="shared" si="1"/>
        <v>0.6</v>
      </c>
      <c r="J12" s="330">
        <f t="shared" si="1"/>
        <v>110</v>
      </c>
      <c r="K12" s="673">
        <f t="shared" si="1"/>
        <v>6.9349600000000002</v>
      </c>
      <c r="L12" s="370"/>
      <c r="M12" s="370"/>
      <c r="N12" s="370">
        <f>SUM(N10:N11)</f>
        <v>0.2</v>
      </c>
      <c r="O12" s="370">
        <f>SUM(O10:O11)</f>
        <v>0.4</v>
      </c>
      <c r="P12" s="370"/>
      <c r="Q12" s="671">
        <f>SUM(Q10:Q11)</f>
        <v>21.237360000000002</v>
      </c>
      <c r="R12" s="371">
        <f>SUM(R10:R11)</f>
        <v>2.8224</v>
      </c>
      <c r="S12" s="372">
        <f>SUM(S10:S11)</f>
        <v>33443066.400000006</v>
      </c>
      <c r="T12" s="369"/>
      <c r="U12" s="141"/>
      <c r="V12" s="677">
        <f>G12+H12+I12+K12+N12+O12</f>
        <v>9.6773600000000002</v>
      </c>
    </row>
    <row r="13" spans="1:22" s="229" customFormat="1" ht="21" customHeight="1">
      <c r="B13" s="329" t="s">
        <v>441</v>
      </c>
      <c r="G13" s="374"/>
      <c r="H13" s="375"/>
      <c r="I13" s="374"/>
      <c r="J13" s="329"/>
      <c r="K13" s="329"/>
      <c r="L13" s="329"/>
      <c r="M13" s="1125" t="s">
        <v>440</v>
      </c>
      <c r="N13" s="1125"/>
      <c r="O13" s="1125"/>
      <c r="P13" s="1125"/>
      <c r="Q13" s="1125"/>
      <c r="R13" s="1125"/>
      <c r="S13" s="1125"/>
      <c r="T13" s="1125"/>
    </row>
    <row r="14" spans="1:22" s="14" customFormat="1" ht="24" customHeight="1">
      <c r="A14" s="1123" t="s">
        <v>217</v>
      </c>
      <c r="B14" s="1123"/>
      <c r="C14" s="1123"/>
      <c r="D14" s="1123"/>
      <c r="E14" s="1123"/>
      <c r="F14" s="1123"/>
      <c r="I14" s="111"/>
      <c r="J14" s="113"/>
      <c r="K14" s="113"/>
      <c r="L14" s="113"/>
      <c r="M14" s="1123" t="s">
        <v>42</v>
      </c>
      <c r="N14" s="1123"/>
      <c r="O14" s="1123"/>
      <c r="P14" s="1123"/>
      <c r="Q14" s="1123"/>
      <c r="R14" s="1123"/>
      <c r="S14" s="1123"/>
      <c r="T14" s="1123"/>
    </row>
    <row r="15" spans="1:22" s="113" customFormat="1" ht="14.25" customHeight="1">
      <c r="A15" s="1123" t="s">
        <v>183</v>
      </c>
      <c r="B15" s="1123"/>
      <c r="C15" s="112"/>
      <c r="D15" s="1123" t="s">
        <v>184</v>
      </c>
      <c r="E15" s="1123"/>
      <c r="F15" s="1123"/>
      <c r="G15" s="1123"/>
      <c r="H15" s="1123"/>
      <c r="L15" s="1123" t="s">
        <v>45</v>
      </c>
      <c r="M15" s="1123"/>
      <c r="N15" s="1123"/>
      <c r="O15" s="1123"/>
      <c r="Q15" s="1123" t="s">
        <v>43</v>
      </c>
      <c r="R15" s="1123"/>
      <c r="S15" s="1123"/>
      <c r="T15" s="1123"/>
    </row>
    <row r="16" spans="1:22" s="14" customFormat="1" ht="14.25">
      <c r="A16" s="110"/>
      <c r="B16" s="110"/>
      <c r="C16" s="110"/>
      <c r="D16" s="110"/>
      <c r="E16" s="109"/>
      <c r="F16" s="110"/>
      <c r="G16" s="109"/>
      <c r="H16" s="110"/>
      <c r="I16" s="109"/>
      <c r="J16" s="110"/>
      <c r="K16" s="110"/>
      <c r="L16" s="110"/>
      <c r="M16" s="109"/>
      <c r="N16" s="109"/>
      <c r="O16" s="109"/>
      <c r="P16" s="109"/>
      <c r="Q16" s="110"/>
    </row>
    <row r="17" spans="1:20" s="14" customFormat="1" ht="14.25">
      <c r="A17" s="110"/>
      <c r="B17" s="110"/>
      <c r="C17" s="110"/>
      <c r="D17" s="110"/>
      <c r="E17" s="109"/>
      <c r="F17" s="110"/>
      <c r="G17" s="109"/>
      <c r="H17" s="110"/>
      <c r="I17" s="109"/>
      <c r="J17" s="110"/>
      <c r="K17" s="110"/>
      <c r="L17" s="110"/>
      <c r="M17" s="109"/>
      <c r="N17" s="109"/>
      <c r="O17" s="109"/>
      <c r="P17" s="109"/>
      <c r="Q17" s="110"/>
    </row>
    <row r="18" spans="1:20" s="14" customFormat="1" ht="14.25">
      <c r="A18" s="110"/>
      <c r="B18" s="110"/>
      <c r="C18" s="110"/>
      <c r="D18" s="110"/>
      <c r="E18" s="109"/>
      <c r="F18" s="110"/>
      <c r="G18" s="109"/>
      <c r="H18" s="110"/>
      <c r="I18" s="109"/>
      <c r="J18" s="110"/>
      <c r="K18" s="110"/>
      <c r="L18" s="110"/>
      <c r="M18" s="109"/>
      <c r="N18" s="109"/>
      <c r="O18" s="109"/>
      <c r="P18" s="109"/>
      <c r="Q18" s="110"/>
    </row>
    <row r="19" spans="1:20" s="14" customFormat="1" ht="14.25">
      <c r="A19" s="110"/>
      <c r="B19" s="110"/>
      <c r="C19" s="110"/>
      <c r="D19" s="110"/>
      <c r="E19" s="109"/>
      <c r="F19" s="110"/>
      <c r="G19" s="109"/>
      <c r="H19" s="110"/>
      <c r="I19" s="109"/>
      <c r="J19" s="110"/>
      <c r="K19" s="110"/>
      <c r="L19" s="110"/>
      <c r="M19" s="109"/>
      <c r="N19" s="109"/>
      <c r="O19" s="109"/>
      <c r="P19" s="109"/>
      <c r="Q19" s="110"/>
    </row>
    <row r="20" spans="1:20" s="113" customFormat="1" ht="26.25" customHeight="1">
      <c r="C20" s="110"/>
      <c r="D20" s="110"/>
      <c r="E20" s="109"/>
      <c r="F20" s="110"/>
      <c r="G20" s="109"/>
      <c r="H20" s="110"/>
      <c r="I20" s="109"/>
      <c r="J20" s="110"/>
      <c r="K20" s="110"/>
      <c r="L20" s="110"/>
      <c r="M20" s="109"/>
      <c r="N20" s="109"/>
      <c r="O20" s="109"/>
      <c r="P20" s="109"/>
      <c r="Q20" s="110"/>
      <c r="R20" s="14"/>
      <c r="S20" s="14"/>
      <c r="T20" s="14"/>
    </row>
    <row r="21" spans="1:20" ht="14.25" customHeight="1">
      <c r="A21" s="1123" t="s">
        <v>46</v>
      </c>
      <c r="B21" s="1123"/>
      <c r="C21" s="112"/>
      <c r="D21" s="1123" t="s">
        <v>356</v>
      </c>
      <c r="E21" s="1123"/>
      <c r="F21" s="1123"/>
      <c r="G21" s="1123"/>
      <c r="H21" s="1123"/>
      <c r="I21" s="113"/>
      <c r="J21" s="113"/>
      <c r="K21" s="113"/>
      <c r="L21" s="1123" t="s">
        <v>222</v>
      </c>
      <c r="M21" s="1123"/>
      <c r="N21" s="1123"/>
      <c r="O21" s="1123"/>
      <c r="P21" s="113"/>
      <c r="Q21" s="1123" t="s">
        <v>49</v>
      </c>
      <c r="R21" s="1123"/>
      <c r="S21" s="1123"/>
      <c r="T21" s="1123"/>
    </row>
    <row r="22" spans="1:20" ht="14.25" customHeight="1">
      <c r="A22" s="549"/>
      <c r="B22" s="549"/>
      <c r="C22" s="112"/>
      <c r="D22" s="549"/>
      <c r="E22" s="549"/>
      <c r="F22" s="549"/>
      <c r="G22" s="549"/>
      <c r="H22" s="549"/>
      <c r="I22" s="113"/>
      <c r="J22" s="113"/>
      <c r="K22" s="113"/>
      <c r="L22" s="549"/>
      <c r="M22" s="549"/>
      <c r="N22" s="549"/>
      <c r="O22" s="549"/>
      <c r="P22" s="113"/>
      <c r="Q22" s="549"/>
      <c r="R22" s="549"/>
      <c r="S22" s="549"/>
      <c r="T22" s="549"/>
    </row>
    <row r="23" spans="1:20" ht="14.25" customHeight="1">
      <c r="A23" s="549"/>
      <c r="B23" s="549"/>
      <c r="C23" s="112"/>
      <c r="D23" s="549"/>
      <c r="E23" s="549"/>
      <c r="F23" s="549"/>
      <c r="G23" s="549"/>
      <c r="H23" s="549"/>
      <c r="I23" s="113"/>
      <c r="J23" s="113"/>
      <c r="K23" s="113"/>
      <c r="L23" s="549"/>
      <c r="M23" s="549"/>
      <c r="N23" s="549"/>
      <c r="O23" s="549"/>
      <c r="P23" s="113"/>
      <c r="Q23" s="549"/>
      <c r="R23" s="549"/>
      <c r="S23" s="549"/>
      <c r="T23" s="549"/>
    </row>
    <row r="24" spans="1:20" ht="14.25" customHeight="1">
      <c r="A24" s="549"/>
      <c r="B24" s="549"/>
      <c r="C24" s="112"/>
      <c r="D24" s="549"/>
      <c r="E24" s="549"/>
      <c r="F24" s="549"/>
      <c r="G24" s="549"/>
      <c r="H24" s="549"/>
      <c r="I24" s="113"/>
      <c r="J24" s="113"/>
      <c r="K24" s="113"/>
      <c r="L24" s="549"/>
      <c r="M24" s="549"/>
      <c r="N24" s="549"/>
      <c r="O24" s="549"/>
      <c r="P24" s="113"/>
      <c r="Q24" s="549"/>
      <c r="R24" s="549"/>
      <c r="S24" s="549"/>
      <c r="T24" s="549"/>
    </row>
    <row r="25" spans="1:20" ht="14.25" customHeight="1">
      <c r="A25" s="549"/>
      <c r="B25" s="549"/>
      <c r="C25" s="112"/>
      <c r="D25" s="549"/>
      <c r="E25" s="549"/>
      <c r="F25" s="549"/>
      <c r="G25" s="549"/>
      <c r="H25" s="549"/>
      <c r="I25" s="113"/>
      <c r="J25" s="113"/>
      <c r="K25" s="113"/>
      <c r="L25" s="549"/>
      <c r="M25" s="549"/>
      <c r="N25" s="549"/>
      <c r="O25" s="549"/>
      <c r="P25" s="113"/>
      <c r="Q25" s="549"/>
      <c r="R25" s="549"/>
      <c r="S25" s="549"/>
      <c r="T25" s="549"/>
    </row>
    <row r="26" spans="1:20" ht="14.25" customHeight="1">
      <c r="A26" s="549"/>
      <c r="B26" s="549"/>
      <c r="C26" s="112"/>
      <c r="D26" s="549"/>
      <c r="E26" s="549"/>
      <c r="F26" s="549"/>
      <c r="G26" s="549"/>
      <c r="H26" s="549"/>
      <c r="I26" s="113"/>
      <c r="J26" s="113"/>
      <c r="K26" s="113"/>
      <c r="L26" s="549"/>
      <c r="M26" s="549"/>
      <c r="N26" s="549"/>
      <c r="O26" s="549"/>
      <c r="P26" s="113"/>
      <c r="Q26" s="549"/>
      <c r="R26" s="549"/>
      <c r="S26" s="549"/>
      <c r="T26" s="549"/>
    </row>
    <row r="27" spans="1:20" ht="14.25" customHeight="1">
      <c r="A27" s="549"/>
      <c r="B27" s="549"/>
      <c r="C27" s="112"/>
      <c r="D27" s="549"/>
      <c r="E27" s="549"/>
      <c r="F27" s="549"/>
      <c r="G27" s="549"/>
      <c r="H27" s="549"/>
      <c r="I27" s="113"/>
      <c r="J27" s="113"/>
      <c r="K27" s="113"/>
      <c r="L27" s="549"/>
      <c r="M27" s="549"/>
      <c r="N27" s="549"/>
      <c r="O27" s="549"/>
      <c r="P27" s="113"/>
      <c r="Q27" s="549"/>
      <c r="R27" s="549"/>
      <c r="S27" s="549"/>
      <c r="T27" s="549"/>
    </row>
    <row r="28" spans="1:20" ht="14.25" customHeight="1">
      <c r="A28" s="549"/>
      <c r="B28" s="549"/>
      <c r="C28" s="112"/>
      <c r="D28" s="549"/>
      <c r="E28" s="549"/>
      <c r="F28" s="549"/>
      <c r="G28" s="549"/>
      <c r="H28" s="549"/>
      <c r="I28" s="113"/>
      <c r="J28" s="113"/>
      <c r="K28" s="113"/>
      <c r="L28" s="549"/>
      <c r="M28" s="549"/>
      <c r="N28" s="549"/>
      <c r="O28" s="549"/>
      <c r="P28" s="113"/>
      <c r="Q28" s="549"/>
      <c r="R28" s="549"/>
      <c r="S28" s="549"/>
      <c r="T28" s="549"/>
    </row>
    <row r="29" spans="1:20" ht="14.25" customHeight="1">
      <c r="A29" s="549"/>
      <c r="B29" s="549"/>
      <c r="C29" s="112"/>
      <c r="D29" s="549"/>
      <c r="E29" s="549"/>
      <c r="F29" s="549"/>
      <c r="G29" s="549"/>
      <c r="H29" s="549"/>
      <c r="I29" s="113"/>
      <c r="J29" s="113"/>
      <c r="K29" s="113"/>
      <c r="L29" s="549"/>
      <c r="M29" s="549"/>
      <c r="N29" s="549"/>
      <c r="O29" s="549"/>
      <c r="P29" s="113"/>
      <c r="Q29" s="549"/>
      <c r="R29" s="549"/>
      <c r="S29" s="549"/>
      <c r="T29" s="549"/>
    </row>
    <row r="30" spans="1:20" ht="14.25" customHeight="1">
      <c r="A30" s="549"/>
      <c r="B30" s="549"/>
      <c r="C30" s="112"/>
      <c r="D30" s="549"/>
      <c r="E30" s="549"/>
      <c r="F30" s="549"/>
      <c r="G30" s="549"/>
      <c r="H30" s="549"/>
      <c r="I30" s="113"/>
      <c r="J30" s="113"/>
      <c r="K30" s="113"/>
      <c r="L30" s="549"/>
      <c r="M30" s="549"/>
      <c r="N30" s="549"/>
      <c r="O30" s="549"/>
      <c r="P30" s="113"/>
      <c r="Q30" s="549"/>
      <c r="R30" s="549"/>
      <c r="S30" s="549"/>
      <c r="T30" s="549"/>
    </row>
    <row r="31" spans="1:20" ht="14.25" customHeight="1">
      <c r="A31" s="549"/>
      <c r="B31" s="549"/>
      <c r="C31" s="112"/>
      <c r="D31" s="549"/>
      <c r="E31" s="549"/>
      <c r="F31" s="549"/>
      <c r="G31" s="549"/>
      <c r="H31" s="549"/>
      <c r="I31" s="113"/>
      <c r="J31" s="113"/>
      <c r="K31" s="113"/>
      <c r="L31" s="549"/>
      <c r="M31" s="549"/>
      <c r="N31" s="549"/>
      <c r="O31" s="549"/>
      <c r="P31" s="113"/>
      <c r="Q31" s="549"/>
      <c r="R31" s="549"/>
      <c r="S31" s="549"/>
      <c r="T31" s="549"/>
    </row>
    <row r="32" spans="1:20" ht="14.25" customHeight="1">
      <c r="A32" s="549"/>
      <c r="B32" s="549"/>
      <c r="C32" s="112"/>
      <c r="D32" s="549"/>
      <c r="E32" s="549"/>
      <c r="F32" s="549"/>
      <c r="G32" s="549"/>
      <c r="H32" s="549"/>
      <c r="I32" s="113"/>
      <c r="J32" s="113"/>
      <c r="K32" s="113"/>
      <c r="L32" s="549"/>
      <c r="M32" s="549"/>
      <c r="N32" s="549"/>
      <c r="O32" s="549"/>
      <c r="P32" s="113"/>
      <c r="Q32" s="549"/>
      <c r="R32" s="549"/>
      <c r="S32" s="549"/>
      <c r="T32" s="549"/>
    </row>
    <row r="33" spans="1:20" ht="14.25" customHeight="1">
      <c r="A33" s="549"/>
      <c r="B33" s="549"/>
      <c r="C33" s="112"/>
      <c r="D33" s="549"/>
      <c r="E33" s="549"/>
      <c r="F33" s="549"/>
      <c r="G33" s="549"/>
      <c r="H33" s="549"/>
      <c r="I33" s="113"/>
      <c r="J33" s="113"/>
      <c r="K33" s="113"/>
      <c r="L33" s="549"/>
      <c r="M33" s="549"/>
      <c r="N33" s="549"/>
      <c r="O33" s="549"/>
      <c r="P33" s="113"/>
      <c r="Q33" s="549"/>
      <c r="R33" s="549"/>
      <c r="S33" s="549"/>
      <c r="T33" s="549"/>
    </row>
    <row r="34" spans="1:20" s="339" customFormat="1" ht="21.75" customHeight="1">
      <c r="A34" s="487">
        <v>1</v>
      </c>
      <c r="B34" s="488" t="s">
        <v>170</v>
      </c>
      <c r="C34" s="489">
        <v>33604</v>
      </c>
      <c r="D34" s="490" t="s">
        <v>171</v>
      </c>
      <c r="E34" s="491">
        <v>2.34</v>
      </c>
      <c r="F34" s="490"/>
      <c r="G34" s="490"/>
      <c r="H34" s="490"/>
      <c r="I34" s="490">
        <v>0.3</v>
      </c>
      <c r="J34" s="490">
        <v>60</v>
      </c>
      <c r="K34" s="492">
        <f>J34%*E34</f>
        <v>1.4039999999999999</v>
      </c>
      <c r="L34" s="490"/>
      <c r="M34" s="493"/>
      <c r="N34" s="490">
        <v>0.2</v>
      </c>
      <c r="O34" s="493"/>
      <c r="P34" s="490"/>
      <c r="Q34" s="674">
        <f>(P34+O34+K34+I34+H34+G34+E34)</f>
        <v>4.0439999999999996</v>
      </c>
      <c r="R34" s="667">
        <f>E34*24%</f>
        <v>0.56159999999999999</v>
      </c>
      <c r="S34" s="668">
        <f>(R34+Q34)*1390000</f>
        <v>6401784</v>
      </c>
      <c r="T34" s="490" t="s">
        <v>362</v>
      </c>
    </row>
  </sheetData>
  <mergeCells count="34">
    <mergeCell ref="Q21:T21"/>
    <mergeCell ref="S7:S9"/>
    <mergeCell ref="T7:T9"/>
    <mergeCell ref="F8:G8"/>
    <mergeCell ref="H8:H9"/>
    <mergeCell ref="I8:I9"/>
    <mergeCell ref="J8:K8"/>
    <mergeCell ref="L8:M8"/>
    <mergeCell ref="F7:P7"/>
    <mergeCell ref="Q7:Q9"/>
    <mergeCell ref="M13:T13"/>
    <mergeCell ref="M14:T14"/>
    <mergeCell ref="Q15:T15"/>
    <mergeCell ref="N8:N9"/>
    <mergeCell ref="R7:R9"/>
    <mergeCell ref="O8:O9"/>
    <mergeCell ref="P8:P9"/>
    <mergeCell ref="D21:H21"/>
    <mergeCell ref="L21:O21"/>
    <mergeCell ref="A14:F14"/>
    <mergeCell ref="A15:B15"/>
    <mergeCell ref="A7:A9"/>
    <mergeCell ref="B7:B9"/>
    <mergeCell ref="C7:C9"/>
    <mergeCell ref="D7:D9"/>
    <mergeCell ref="E7:E9"/>
    <mergeCell ref="A21:B21"/>
    <mergeCell ref="D15:H15"/>
    <mergeCell ref="L15:O15"/>
    <mergeCell ref="A1:D1"/>
    <mergeCell ref="K1:S1"/>
    <mergeCell ref="A2:D2"/>
    <mergeCell ref="K2:S2"/>
    <mergeCell ref="A5:S5"/>
  </mergeCells>
  <pageMargins left="0.24" right="0.16" top="0.2" bottom="0.32" header="0.2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Q28" sqref="Q28"/>
    </sheetView>
  </sheetViews>
  <sheetFormatPr defaultRowHeight="15"/>
  <cols>
    <col min="1" max="1" width="2.7109375" customWidth="1"/>
    <col min="2" max="2" width="15.28515625" customWidth="1"/>
    <col min="3" max="4" width="9" customWidth="1"/>
    <col min="5" max="5" width="6.85546875" customWidth="1"/>
    <col min="6" max="6" width="7.140625" customWidth="1"/>
    <col min="7" max="7" width="5" customWidth="1"/>
    <col min="8" max="10" width="4.5703125" customWidth="1"/>
    <col min="11" max="11" width="4.42578125" customWidth="1"/>
    <col min="12" max="12" width="5" customWidth="1"/>
    <col min="13" max="13" width="4.42578125" customWidth="1"/>
    <col min="14" max="14" width="5" customWidth="1"/>
    <col min="15" max="15" width="6.5703125" customWidth="1"/>
    <col min="16" max="16" width="13.7109375" style="13" customWidth="1"/>
    <col min="17" max="17" width="7" customWidth="1"/>
    <col min="18" max="18" width="10.85546875" customWidth="1"/>
    <col min="19" max="19" width="16.7109375" customWidth="1"/>
  </cols>
  <sheetData>
    <row r="1" spans="1:19" ht="18.75">
      <c r="A1" s="1194" t="s">
        <v>0</v>
      </c>
      <c r="B1" s="1194"/>
      <c r="C1" s="1194"/>
      <c r="D1" s="1194"/>
      <c r="E1" s="1194"/>
      <c r="F1" s="327"/>
      <c r="G1" s="327"/>
      <c r="H1" s="327"/>
      <c r="I1" s="2"/>
      <c r="J1" s="2"/>
      <c r="K1" s="4"/>
      <c r="L1" s="4"/>
      <c r="M1" s="4"/>
      <c r="N1" s="1107" t="s">
        <v>1</v>
      </c>
      <c r="O1" s="1107"/>
      <c r="P1" s="1107"/>
      <c r="Q1" s="1107"/>
      <c r="R1" s="1107"/>
      <c r="S1" s="1107"/>
    </row>
    <row r="2" spans="1:19" ht="18.75">
      <c r="A2" s="1107" t="s">
        <v>2</v>
      </c>
      <c r="B2" s="1107"/>
      <c r="C2" s="1107"/>
      <c r="D2" s="1107"/>
      <c r="E2" s="1107"/>
      <c r="F2" s="325"/>
      <c r="G2" s="325"/>
      <c r="H2" s="325"/>
      <c r="I2" s="7"/>
      <c r="J2" s="2"/>
      <c r="K2" s="4"/>
      <c r="L2" s="4"/>
      <c r="M2" s="4"/>
      <c r="N2" s="1078" t="s">
        <v>3</v>
      </c>
      <c r="O2" s="1078"/>
      <c r="P2" s="1078"/>
      <c r="Q2" s="1078"/>
      <c r="R2" s="1078"/>
      <c r="S2" s="1078"/>
    </row>
    <row r="3" spans="1:19" ht="18.75">
      <c r="A3" s="2"/>
      <c r="B3" s="2"/>
      <c r="C3" s="2"/>
      <c r="D3" s="2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791"/>
      <c r="R3" s="8"/>
      <c r="S3" s="8"/>
    </row>
    <row r="4" spans="1:19" ht="18.75">
      <c r="A4" s="1078" t="s">
        <v>4</v>
      </c>
      <c r="B4" s="1078"/>
      <c r="C4" s="1078"/>
      <c r="D4" s="1078"/>
      <c r="E4" s="1078"/>
      <c r="F4" s="1078"/>
      <c r="G4" s="1078"/>
      <c r="H4" s="1078"/>
      <c r="I4" s="1078"/>
      <c r="J4" s="1078"/>
      <c r="K4" s="1078"/>
      <c r="L4" s="1078"/>
      <c r="M4" s="1078"/>
      <c r="N4" s="1078"/>
      <c r="O4" s="1078"/>
      <c r="P4" s="1078"/>
      <c r="Q4" s="1078"/>
      <c r="R4" s="1078"/>
      <c r="S4" s="1078"/>
    </row>
    <row r="5" spans="1:19" ht="18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790"/>
      <c r="Q5" s="6"/>
      <c r="R5" s="6"/>
      <c r="S5" s="6"/>
    </row>
    <row r="6" spans="1:19">
      <c r="A6" s="1195" t="s">
        <v>5</v>
      </c>
      <c r="B6" s="1195" t="s">
        <v>6</v>
      </c>
      <c r="C6" s="1195" t="s">
        <v>7</v>
      </c>
      <c r="D6" s="1190" t="s">
        <v>8</v>
      </c>
      <c r="E6" s="1195" t="s">
        <v>9</v>
      </c>
      <c r="F6" s="1190" t="s">
        <v>10</v>
      </c>
      <c r="G6" s="1199" t="s">
        <v>11</v>
      </c>
      <c r="H6" s="1200"/>
      <c r="I6" s="1200"/>
      <c r="J6" s="1200"/>
      <c r="K6" s="1200"/>
      <c r="L6" s="1200"/>
      <c r="M6" s="1200"/>
      <c r="N6" s="1200"/>
      <c r="O6" s="1200"/>
      <c r="P6" s="1200"/>
      <c r="Q6" s="1201" t="s">
        <v>19</v>
      </c>
      <c r="R6" s="1190" t="s">
        <v>12</v>
      </c>
      <c r="S6" s="1190" t="s">
        <v>13</v>
      </c>
    </row>
    <row r="7" spans="1:19" ht="14.25" customHeight="1">
      <c r="A7" s="1195"/>
      <c r="B7" s="1195"/>
      <c r="C7" s="1195"/>
      <c r="D7" s="1195"/>
      <c r="E7" s="1195"/>
      <c r="F7" s="1190"/>
      <c r="G7" s="1195" t="s">
        <v>14</v>
      </c>
      <c r="H7" s="1195"/>
      <c r="I7" s="1195" t="s">
        <v>15</v>
      </c>
      <c r="J7" s="1195"/>
      <c r="K7" s="1195"/>
      <c r="L7" s="1195" t="s">
        <v>16</v>
      </c>
      <c r="M7" s="1195"/>
      <c r="N7" s="1195"/>
      <c r="O7" s="1195"/>
      <c r="P7" s="1196" t="s">
        <v>57</v>
      </c>
      <c r="Q7" s="1202"/>
      <c r="R7" s="1190"/>
      <c r="S7" s="1190"/>
    </row>
    <row r="8" spans="1:19" ht="14.25" customHeight="1">
      <c r="A8" s="1195"/>
      <c r="B8" s="1195"/>
      <c r="C8" s="1195"/>
      <c r="D8" s="1195"/>
      <c r="E8" s="1195"/>
      <c r="F8" s="1190"/>
      <c r="G8" s="1189" t="s">
        <v>20</v>
      </c>
      <c r="H8" s="1189" t="s">
        <v>21</v>
      </c>
      <c r="I8" s="1189" t="s">
        <v>20</v>
      </c>
      <c r="J8" s="1189" t="s">
        <v>21</v>
      </c>
      <c r="K8" s="1190" t="s">
        <v>22</v>
      </c>
      <c r="L8" s="1189" t="s">
        <v>23</v>
      </c>
      <c r="M8" s="1189" t="s">
        <v>21</v>
      </c>
      <c r="N8" s="1190" t="s">
        <v>22</v>
      </c>
      <c r="O8" s="1190"/>
      <c r="P8" s="1197"/>
      <c r="Q8" s="1202"/>
      <c r="R8" s="1190"/>
      <c r="S8" s="1190"/>
    </row>
    <row r="9" spans="1:19">
      <c r="A9" s="1195"/>
      <c r="B9" s="1195"/>
      <c r="C9" s="1195"/>
      <c r="D9" s="1195"/>
      <c r="E9" s="1195"/>
      <c r="F9" s="1190"/>
      <c r="G9" s="1189"/>
      <c r="H9" s="1189"/>
      <c r="I9" s="1189"/>
      <c r="J9" s="1189"/>
      <c r="K9" s="1190"/>
      <c r="L9" s="1189"/>
      <c r="M9" s="1189"/>
      <c r="N9" s="9" t="s">
        <v>24</v>
      </c>
      <c r="O9" s="9" t="s">
        <v>25</v>
      </c>
      <c r="P9" s="1198"/>
      <c r="Q9" s="1203"/>
      <c r="R9" s="1190"/>
      <c r="S9" s="1190"/>
    </row>
    <row r="10" spans="1:19" ht="24" customHeight="1">
      <c r="A10" s="1192" t="s">
        <v>26</v>
      </c>
      <c r="B10" s="1192"/>
      <c r="C10" s="816"/>
      <c r="D10" s="816"/>
      <c r="E10" s="816"/>
      <c r="F10" s="817"/>
      <c r="G10" s="818"/>
      <c r="H10" s="818"/>
      <c r="I10" s="818"/>
      <c r="J10" s="818"/>
      <c r="K10" s="817"/>
      <c r="L10" s="818"/>
      <c r="M10" s="818"/>
      <c r="N10" s="819"/>
      <c r="O10" s="819"/>
      <c r="P10" s="819"/>
      <c r="Q10" s="817"/>
      <c r="R10" s="817"/>
      <c r="S10" s="817"/>
    </row>
    <row r="11" spans="1:19" ht="24" customHeight="1">
      <c r="A11" s="820">
        <v>1</v>
      </c>
      <c r="B11" s="821" t="s">
        <v>27</v>
      </c>
      <c r="C11" s="822" t="s">
        <v>28</v>
      </c>
      <c r="D11" s="823" t="s">
        <v>29</v>
      </c>
      <c r="E11" s="824">
        <v>4.0599999999999996</v>
      </c>
      <c r="F11" s="824">
        <v>0.37</v>
      </c>
      <c r="G11" s="825">
        <v>0.2</v>
      </c>
      <c r="H11" s="825"/>
      <c r="I11" s="825"/>
      <c r="J11" s="825"/>
      <c r="K11" s="826"/>
      <c r="L11" s="825">
        <v>70</v>
      </c>
      <c r="M11" s="825">
        <v>40</v>
      </c>
      <c r="N11" s="824">
        <v>30</v>
      </c>
      <c r="O11" s="824">
        <f>N11%*(G11+F11+E11)</f>
        <v>1.389</v>
      </c>
      <c r="P11" s="827">
        <v>43487</v>
      </c>
      <c r="Q11" s="825">
        <v>1.389</v>
      </c>
      <c r="R11" s="828">
        <v>1930.71</v>
      </c>
      <c r="S11" s="827"/>
    </row>
    <row r="12" spans="1:19" ht="24" customHeight="1">
      <c r="A12" s="820">
        <v>2</v>
      </c>
      <c r="B12" s="821" t="s">
        <v>32</v>
      </c>
      <c r="C12" s="822" t="s">
        <v>33</v>
      </c>
      <c r="D12" s="823" t="s">
        <v>34</v>
      </c>
      <c r="E12" s="825">
        <v>2.66</v>
      </c>
      <c r="F12" s="826"/>
      <c r="G12" s="829"/>
      <c r="H12" s="829"/>
      <c r="I12" s="830"/>
      <c r="J12" s="830"/>
      <c r="K12" s="831"/>
      <c r="L12" s="832">
        <v>70</v>
      </c>
      <c r="M12" s="825">
        <v>40</v>
      </c>
      <c r="N12" s="824">
        <v>30</v>
      </c>
      <c r="O12" s="824">
        <f t="shared" ref="O12:O14" si="0">N12%*(G12+F12+E12)</f>
        <v>0.79800000000000004</v>
      </c>
      <c r="P12" s="827">
        <v>43487</v>
      </c>
      <c r="Q12" s="825">
        <v>0.79800000000000004</v>
      </c>
      <c r="R12" s="828">
        <v>1109.22</v>
      </c>
      <c r="S12" s="827"/>
    </row>
    <row r="13" spans="1:19" ht="24" customHeight="1">
      <c r="A13" s="820">
        <v>3</v>
      </c>
      <c r="B13" s="821" t="s">
        <v>35</v>
      </c>
      <c r="C13" s="833">
        <v>28370</v>
      </c>
      <c r="D13" s="823" t="s">
        <v>36</v>
      </c>
      <c r="E13" s="824">
        <v>2.66</v>
      </c>
      <c r="F13" s="834"/>
      <c r="G13" s="829"/>
      <c r="H13" s="829"/>
      <c r="I13" s="830"/>
      <c r="J13" s="830"/>
      <c r="K13" s="831"/>
      <c r="L13" s="832">
        <v>70</v>
      </c>
      <c r="M13" s="825">
        <v>40</v>
      </c>
      <c r="N13" s="824">
        <v>30</v>
      </c>
      <c r="O13" s="824">
        <f t="shared" si="0"/>
        <v>0.79800000000000004</v>
      </c>
      <c r="P13" s="827">
        <v>43487</v>
      </c>
      <c r="Q13" s="825">
        <v>0.79800000000000004</v>
      </c>
      <c r="R13" s="828">
        <v>1109.22</v>
      </c>
      <c r="S13" s="827"/>
    </row>
    <row r="14" spans="1:19" ht="24" customHeight="1">
      <c r="A14" s="820">
        <v>4</v>
      </c>
      <c r="B14" s="835" t="s">
        <v>37</v>
      </c>
      <c r="C14" s="833">
        <v>26917</v>
      </c>
      <c r="D14" s="823" t="s">
        <v>38</v>
      </c>
      <c r="E14" s="825">
        <v>3.86</v>
      </c>
      <c r="F14" s="826"/>
      <c r="G14" s="829"/>
      <c r="H14" s="829"/>
      <c r="I14" s="830"/>
      <c r="J14" s="830"/>
      <c r="K14" s="831"/>
      <c r="L14" s="832">
        <v>70</v>
      </c>
      <c r="M14" s="825">
        <v>40</v>
      </c>
      <c r="N14" s="824">
        <v>30</v>
      </c>
      <c r="O14" s="824">
        <f t="shared" si="0"/>
        <v>1.1579999999999999</v>
      </c>
      <c r="P14" s="827">
        <v>43487</v>
      </c>
      <c r="Q14" s="825">
        <v>1.1579999999999999</v>
      </c>
      <c r="R14" s="828">
        <v>1609.62</v>
      </c>
      <c r="S14" s="827"/>
    </row>
    <row r="15" spans="1:19" ht="19.5" customHeight="1">
      <c r="A15" s="1193" t="s">
        <v>39</v>
      </c>
      <c r="B15" s="1193"/>
      <c r="C15" s="836"/>
      <c r="D15" s="837"/>
      <c r="E15" s="838">
        <v>15.91</v>
      </c>
      <c r="F15" s="838">
        <v>0.37</v>
      </c>
      <c r="G15" s="838">
        <f>SUM(G11:G14)</f>
        <v>0.2</v>
      </c>
      <c r="H15" s="838"/>
      <c r="I15" s="838"/>
      <c r="J15" s="838"/>
      <c r="K15" s="838"/>
      <c r="L15" s="838"/>
      <c r="M15" s="838"/>
      <c r="N15" s="838"/>
      <c r="O15" s="839">
        <v>4.9889999999999999</v>
      </c>
      <c r="P15" s="839"/>
      <c r="Q15" s="840">
        <v>4.9889999999999999</v>
      </c>
      <c r="R15" s="841">
        <v>6934.71</v>
      </c>
      <c r="S15" s="842"/>
    </row>
    <row r="16" spans="1:19" ht="24" customHeight="1">
      <c r="A16" s="1084" t="s">
        <v>354</v>
      </c>
      <c r="B16" s="1084"/>
      <c r="C16" s="1084"/>
      <c r="D16" s="1084"/>
      <c r="E16" s="1084"/>
      <c r="F16" s="1084"/>
      <c r="G16" s="1084"/>
      <c r="H16" s="1084"/>
      <c r="I16" s="1084"/>
      <c r="J16" s="1084"/>
      <c r="K16" s="10"/>
      <c r="L16" s="10"/>
      <c r="M16" s="1084" t="s">
        <v>355</v>
      </c>
      <c r="N16" s="1084"/>
      <c r="O16" s="1084"/>
      <c r="P16" s="1084"/>
      <c r="Q16" s="1084"/>
      <c r="R16" s="1084"/>
      <c r="S16" s="1084"/>
    </row>
    <row r="17" spans="1:19" ht="18">
      <c r="A17" s="1079" t="s">
        <v>41</v>
      </c>
      <c r="B17" s="1079"/>
      <c r="C17" s="1079"/>
      <c r="D17" s="1079"/>
      <c r="E17" s="1079"/>
      <c r="F17" s="1079"/>
      <c r="G17" s="1079"/>
      <c r="H17" s="1079"/>
      <c r="I17" s="1079"/>
      <c r="J17" s="1079"/>
      <c r="K17" s="11"/>
      <c r="L17" s="11"/>
      <c r="M17" s="1191" t="s">
        <v>42</v>
      </c>
      <c r="N17" s="1191"/>
      <c r="O17" s="1191"/>
      <c r="P17" s="1191"/>
      <c r="Q17" s="1191"/>
      <c r="R17" s="1191"/>
      <c r="S17" s="1191"/>
    </row>
    <row r="18" spans="1:19" s="105" customFormat="1" ht="15.75">
      <c r="A18" s="1191" t="s">
        <v>43</v>
      </c>
      <c r="B18" s="1191"/>
      <c r="C18" s="1191"/>
      <c r="D18" s="377"/>
      <c r="E18" s="1191" t="s">
        <v>366</v>
      </c>
      <c r="F18" s="1191"/>
      <c r="G18" s="1191"/>
      <c r="H18" s="1191"/>
      <c r="I18" s="1191"/>
      <c r="J18" s="1191"/>
      <c r="K18" s="377"/>
      <c r="L18" s="1191" t="s">
        <v>45</v>
      </c>
      <c r="M18" s="1191"/>
      <c r="N18" s="1191"/>
      <c r="O18" s="1191"/>
      <c r="P18" s="1191"/>
      <c r="Q18" s="1191" t="s">
        <v>43</v>
      </c>
      <c r="R18" s="1191"/>
      <c r="S18" s="1191"/>
    </row>
    <row r="19" spans="1:19" ht="18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8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18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1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18">
      <c r="A24" s="1074" t="s">
        <v>46</v>
      </c>
      <c r="B24" s="1074"/>
      <c r="C24" s="1074"/>
      <c r="D24" s="11"/>
      <c r="E24" s="1074" t="s">
        <v>356</v>
      </c>
      <c r="F24" s="1074"/>
      <c r="G24" s="1074"/>
      <c r="H24" s="1074"/>
      <c r="I24" s="1074"/>
      <c r="J24" s="1074"/>
      <c r="K24" s="12"/>
      <c r="L24" s="1074" t="s">
        <v>222</v>
      </c>
      <c r="M24" s="1074"/>
      <c r="N24" s="1074"/>
      <c r="O24" s="1074"/>
      <c r="P24" s="1074"/>
      <c r="Q24" s="1074" t="s">
        <v>49</v>
      </c>
      <c r="R24" s="1074"/>
      <c r="S24" s="1074"/>
    </row>
  </sheetData>
  <mergeCells count="41">
    <mergeCell ref="Q18:S18"/>
    <mergeCell ref="Q24:S24"/>
    <mergeCell ref="L18:P18"/>
    <mergeCell ref="L24:P24"/>
    <mergeCell ref="A4:S4"/>
    <mergeCell ref="Q6:Q9"/>
    <mergeCell ref="A6:A9"/>
    <mergeCell ref="B6:B9"/>
    <mergeCell ref="C6:C9"/>
    <mergeCell ref="D6:D9"/>
    <mergeCell ref="E6:E9"/>
    <mergeCell ref="M17:S17"/>
    <mergeCell ref="M16:S16"/>
    <mergeCell ref="A24:C24"/>
    <mergeCell ref="F6:F9"/>
    <mergeCell ref="E18:J18"/>
    <mergeCell ref="N1:S1"/>
    <mergeCell ref="N2:S2"/>
    <mergeCell ref="A2:E2"/>
    <mergeCell ref="A1:E1"/>
    <mergeCell ref="N8:O8"/>
    <mergeCell ref="R6:R9"/>
    <mergeCell ref="S6:S9"/>
    <mergeCell ref="G7:H7"/>
    <mergeCell ref="I7:K7"/>
    <mergeCell ref="L7:O7"/>
    <mergeCell ref="P7:P9"/>
    <mergeCell ref="G8:G9"/>
    <mergeCell ref="H8:H9"/>
    <mergeCell ref="I8:I9"/>
    <mergeCell ref="M8:M9"/>
    <mergeCell ref="G6:P6"/>
    <mergeCell ref="J8:J9"/>
    <mergeCell ref="K8:K9"/>
    <mergeCell ref="L8:L9"/>
    <mergeCell ref="E24:J24"/>
    <mergeCell ref="A16:J16"/>
    <mergeCell ref="A17:J17"/>
    <mergeCell ref="A18:C18"/>
    <mergeCell ref="A10:B10"/>
    <mergeCell ref="A15:B15"/>
  </mergeCells>
  <pageMargins left="0.3" right="0.16" top="0.37" bottom="0.48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M9" sqref="M9:M10"/>
    </sheetView>
  </sheetViews>
  <sheetFormatPr defaultRowHeight="15"/>
  <cols>
    <col min="1" max="1" width="4.28515625" customWidth="1"/>
    <col min="2" max="2" width="15.140625" customWidth="1"/>
    <col min="3" max="3" width="19.7109375" customWidth="1"/>
    <col min="4" max="4" width="11.85546875" customWidth="1"/>
    <col min="5" max="5" width="6.42578125" style="13" customWidth="1"/>
    <col min="6" max="6" width="8.28515625" style="13" customWidth="1"/>
    <col min="7" max="7" width="9.42578125" style="13" customWidth="1"/>
    <col min="8" max="8" width="4.85546875" customWidth="1"/>
    <col min="9" max="9" width="5.85546875" customWidth="1"/>
    <col min="10" max="10" width="15.5703125" customWidth="1"/>
    <col min="11" max="11" width="4.5703125" customWidth="1"/>
    <col min="12" max="12" width="5.42578125" customWidth="1"/>
    <col min="13" max="13" width="16.28515625" customWidth="1"/>
    <col min="14" max="14" width="6.28515625" customWidth="1"/>
    <col min="15" max="15" width="19.42578125" customWidth="1"/>
  </cols>
  <sheetData>
    <row r="1" spans="1:15" s="13" customFormat="1" ht="18">
      <c r="A1" s="1141" t="s">
        <v>0</v>
      </c>
      <c r="B1" s="1141"/>
      <c r="C1" s="1141"/>
      <c r="D1" s="160"/>
      <c r="E1" s="126"/>
      <c r="F1" s="545"/>
      <c r="G1" s="545"/>
      <c r="H1" s="16"/>
      <c r="I1" s="56"/>
      <c r="J1" s="1107" t="s">
        <v>1</v>
      </c>
      <c r="K1" s="1107"/>
      <c r="L1" s="1107"/>
      <c r="M1" s="1107"/>
      <c r="N1" s="1107"/>
      <c r="O1" s="1107"/>
    </row>
    <row r="2" spans="1:15" s="13" customFormat="1" ht="18.75">
      <c r="A2" s="1207" t="s">
        <v>42</v>
      </c>
      <c r="B2" s="1207"/>
      <c r="C2" s="1207"/>
      <c r="D2" s="17"/>
      <c r="E2" s="17"/>
      <c r="F2" s="17"/>
      <c r="G2" s="17"/>
      <c r="H2" s="17"/>
      <c r="I2" s="57"/>
      <c r="J2" s="1078" t="s">
        <v>3</v>
      </c>
      <c r="K2" s="1078"/>
      <c r="L2" s="1078"/>
      <c r="M2" s="1078"/>
      <c r="N2" s="1078"/>
      <c r="O2" s="1078"/>
    </row>
    <row r="3" spans="1:15" s="13" customFormat="1" ht="18">
      <c r="A3" s="18"/>
      <c r="B3" s="18"/>
      <c r="C3" s="18"/>
      <c r="D3" s="18"/>
      <c r="E3" s="18"/>
      <c r="F3" s="18"/>
      <c r="G3" s="18"/>
      <c r="H3" s="18"/>
      <c r="I3" s="58"/>
      <c r="J3" s="18"/>
      <c r="K3" s="16"/>
      <c r="L3" s="16"/>
      <c r="M3" s="16"/>
    </row>
    <row r="4" spans="1:15" s="13" customFormat="1" ht="18">
      <c r="A4" s="1142" t="s">
        <v>257</v>
      </c>
      <c r="B4" s="1142"/>
      <c r="C4" s="1142"/>
      <c r="D4" s="1142"/>
      <c r="E4" s="1142"/>
      <c r="F4" s="1142"/>
      <c r="G4" s="1142"/>
      <c r="H4" s="1142"/>
      <c r="I4" s="1142"/>
      <c r="J4" s="1142"/>
      <c r="K4" s="1142"/>
      <c r="L4" s="1142"/>
      <c r="M4" s="1142"/>
      <c r="N4" s="1142"/>
      <c r="O4" s="1142"/>
    </row>
    <row r="5" spans="1:15" s="13" customFormat="1" ht="18">
      <c r="A5" s="1209" t="s">
        <v>258</v>
      </c>
      <c r="B5" s="1209"/>
      <c r="C5" s="1209"/>
      <c r="D5" s="1209"/>
      <c r="E5" s="1209"/>
      <c r="F5" s="1209"/>
      <c r="G5" s="1209"/>
      <c r="H5" s="1209"/>
      <c r="I5" s="1209"/>
      <c r="J5" s="1209"/>
      <c r="K5" s="1209"/>
      <c r="L5" s="1209"/>
      <c r="M5" s="1209"/>
      <c r="N5" s="1209"/>
      <c r="O5" s="1209"/>
    </row>
    <row r="6" spans="1:15" s="13" customFormat="1" ht="18">
      <c r="A6" s="19"/>
      <c r="B6" s="19"/>
      <c r="C6" s="19"/>
      <c r="D6" s="19"/>
      <c r="E6" s="19"/>
      <c r="F6" s="19"/>
      <c r="G6" s="19"/>
      <c r="H6" s="19"/>
      <c r="I6" s="59"/>
      <c r="J6" s="19"/>
      <c r="K6" s="20"/>
      <c r="L6" s="20"/>
      <c r="M6" s="20"/>
      <c r="N6" s="21"/>
      <c r="O6" s="75"/>
    </row>
    <row r="7" spans="1:15" s="13" customFormat="1" ht="18" customHeight="1">
      <c r="A7" s="1215" t="s">
        <v>51</v>
      </c>
      <c r="B7" s="1173" t="s">
        <v>6</v>
      </c>
      <c r="C7" s="1173" t="s">
        <v>7</v>
      </c>
      <c r="D7" s="1173" t="s">
        <v>52</v>
      </c>
      <c r="E7" s="1208" t="s">
        <v>185</v>
      </c>
      <c r="F7" s="1208" t="s">
        <v>437</v>
      </c>
      <c r="G7" s="1212" t="s">
        <v>253</v>
      </c>
      <c r="H7" s="1213"/>
      <c r="I7" s="1213"/>
      <c r="J7" s="1214"/>
      <c r="K7" s="1213" t="s">
        <v>254</v>
      </c>
      <c r="L7" s="1213"/>
      <c r="M7" s="1214"/>
      <c r="N7" s="1148" t="s">
        <v>53</v>
      </c>
      <c r="O7" s="1210" t="s">
        <v>438</v>
      </c>
    </row>
    <row r="8" spans="1:15" s="13" customFormat="1" ht="17.25" customHeight="1">
      <c r="A8" s="1216"/>
      <c r="B8" s="1168"/>
      <c r="C8" s="1168"/>
      <c r="D8" s="1168"/>
      <c r="E8" s="1204"/>
      <c r="F8" s="1204"/>
      <c r="G8" s="1212" t="s">
        <v>21</v>
      </c>
      <c r="H8" s="1213"/>
      <c r="I8" s="1213"/>
      <c r="J8" s="1214"/>
      <c r="K8" s="1212" t="s">
        <v>252</v>
      </c>
      <c r="L8" s="1213"/>
      <c r="M8" s="1214"/>
      <c r="N8" s="1148"/>
      <c r="O8" s="1210"/>
    </row>
    <row r="9" spans="1:15" s="13" customFormat="1" ht="15" customHeight="1">
      <c r="A9" s="1216"/>
      <c r="B9" s="1168"/>
      <c r="C9" s="1168"/>
      <c r="D9" s="1168"/>
      <c r="E9" s="1204"/>
      <c r="F9" s="1204"/>
      <c r="G9" s="1204" t="s">
        <v>20</v>
      </c>
      <c r="H9" s="1204" t="s">
        <v>255</v>
      </c>
      <c r="I9" s="1185" t="s">
        <v>56</v>
      </c>
      <c r="J9" s="1204" t="s">
        <v>57</v>
      </c>
      <c r="K9" s="1173" t="s">
        <v>255</v>
      </c>
      <c r="L9" s="1173" t="s">
        <v>56</v>
      </c>
      <c r="M9" s="1204" t="s">
        <v>57</v>
      </c>
      <c r="N9" s="1148"/>
      <c r="O9" s="1210"/>
    </row>
    <row r="10" spans="1:15" s="13" customFormat="1" ht="19.5" customHeight="1">
      <c r="A10" s="1217"/>
      <c r="B10" s="1169"/>
      <c r="C10" s="1169"/>
      <c r="D10" s="1169"/>
      <c r="E10" s="1205"/>
      <c r="F10" s="1205"/>
      <c r="G10" s="1205"/>
      <c r="H10" s="1205"/>
      <c r="I10" s="1186"/>
      <c r="J10" s="1205"/>
      <c r="K10" s="1169"/>
      <c r="L10" s="1169"/>
      <c r="M10" s="1205"/>
      <c r="N10" s="1149"/>
      <c r="O10" s="1211"/>
    </row>
    <row r="11" spans="1:15" s="91" customFormat="1" ht="31.5">
      <c r="A11" s="641">
        <v>1</v>
      </c>
      <c r="B11" s="643" t="s">
        <v>65</v>
      </c>
      <c r="C11" s="642">
        <v>33953</v>
      </c>
      <c r="D11" s="644" t="s">
        <v>29</v>
      </c>
      <c r="E11" s="645">
        <v>2.06</v>
      </c>
      <c r="F11" s="645"/>
      <c r="G11" s="645">
        <v>70</v>
      </c>
      <c r="H11" s="644">
        <v>40</v>
      </c>
      <c r="I11" s="646">
        <f>(E11+F11)*H11%</f>
        <v>0.82400000000000007</v>
      </c>
      <c r="J11" s="647">
        <v>43357</v>
      </c>
      <c r="K11" s="648">
        <v>70</v>
      </c>
      <c r="L11" s="648">
        <f>E11*K11%</f>
        <v>1.4419999999999999</v>
      </c>
      <c r="M11" s="647">
        <v>43357</v>
      </c>
      <c r="N11" s="649">
        <f>L11+I11</f>
        <v>2.266</v>
      </c>
      <c r="O11" s="650" t="s">
        <v>191</v>
      </c>
    </row>
    <row r="12" spans="1:15" s="91" customFormat="1" ht="31.5">
      <c r="A12" s="38">
        <v>2</v>
      </c>
      <c r="B12" s="477" t="s">
        <v>129</v>
      </c>
      <c r="C12" s="163" t="s">
        <v>130</v>
      </c>
      <c r="D12" s="478" t="s">
        <v>36</v>
      </c>
      <c r="E12" s="651">
        <v>3.26</v>
      </c>
      <c r="F12" s="651"/>
      <c r="G12" s="651">
        <v>70</v>
      </c>
      <c r="H12" s="478">
        <v>40</v>
      </c>
      <c r="I12" s="479">
        <f t="shared" ref="I12:I13" si="0">(E12+F12)*H12%</f>
        <v>1.304</v>
      </c>
      <c r="J12" s="652">
        <v>43556</v>
      </c>
      <c r="K12" s="481"/>
      <c r="L12" s="481"/>
      <c r="M12" s="652">
        <v>43556</v>
      </c>
      <c r="N12" s="88">
        <f t="shared" ref="N12:N13" si="1">L12+I12</f>
        <v>1.304</v>
      </c>
      <c r="O12" s="482" t="s">
        <v>197</v>
      </c>
    </row>
    <row r="13" spans="1:15" s="654" customFormat="1" ht="20.25" customHeight="1">
      <c r="A13" s="38">
        <v>3</v>
      </c>
      <c r="B13" s="655" t="s">
        <v>30</v>
      </c>
      <c r="C13" s="656">
        <v>25819</v>
      </c>
      <c r="D13" s="657" t="s">
        <v>31</v>
      </c>
      <c r="E13" s="658">
        <v>2.67</v>
      </c>
      <c r="F13" s="658">
        <v>0.2</v>
      </c>
      <c r="G13" s="651">
        <v>70</v>
      </c>
      <c r="H13" s="478">
        <v>40</v>
      </c>
      <c r="I13" s="479">
        <f t="shared" si="0"/>
        <v>1.1480000000000001</v>
      </c>
      <c r="J13" s="653">
        <v>43587</v>
      </c>
      <c r="K13" s="659"/>
      <c r="L13" s="659"/>
      <c r="M13" s="653">
        <v>43587</v>
      </c>
      <c r="N13" s="88">
        <f t="shared" si="1"/>
        <v>1.1480000000000001</v>
      </c>
      <c r="O13" s="482" t="s">
        <v>197</v>
      </c>
    </row>
    <row r="14" spans="1:15" s="141" customFormat="1" ht="18">
      <c r="A14" s="1218" t="s">
        <v>39</v>
      </c>
      <c r="B14" s="1219"/>
      <c r="C14" s="660"/>
      <c r="D14" s="661"/>
      <c r="E14" s="662">
        <f>SUM(E11:E13)</f>
        <v>7.99</v>
      </c>
      <c r="F14" s="662">
        <f>SUM(F11:F13)</f>
        <v>0.2</v>
      </c>
      <c r="G14" s="662"/>
      <c r="H14" s="661"/>
      <c r="I14" s="663">
        <f>SUM(I11:I13)</f>
        <v>3.2760000000000002</v>
      </c>
      <c r="J14" s="664"/>
      <c r="K14" s="546"/>
      <c r="L14" s="546">
        <f>SUM(L11:L13)</f>
        <v>1.4419999999999999</v>
      </c>
      <c r="M14" s="665"/>
      <c r="N14" s="666">
        <f>SUM(N11:N13)</f>
        <v>4.718</v>
      </c>
      <c r="O14" s="548"/>
    </row>
    <row r="15" spans="1:15" ht="18">
      <c r="A15" s="329" t="s">
        <v>364</v>
      </c>
      <c r="B15" s="170"/>
      <c r="C15" s="170"/>
      <c r="D15" s="170"/>
      <c r="E15" s="170"/>
      <c r="F15" s="170"/>
      <c r="G15" s="170"/>
      <c r="H15" s="170"/>
      <c r="I15" s="170"/>
      <c r="J15" s="1206" t="s">
        <v>355</v>
      </c>
      <c r="K15" s="1206"/>
      <c r="L15" s="1206"/>
      <c r="M15" s="1206"/>
      <c r="N15" s="1206"/>
      <c r="O15" s="1206"/>
    </row>
    <row r="16" spans="1:15" s="14" customFormat="1" ht="24" customHeight="1">
      <c r="B16" s="1109" t="s">
        <v>365</v>
      </c>
      <c r="C16" s="1109"/>
      <c r="D16" s="1109"/>
      <c r="J16" s="1074" t="s">
        <v>42</v>
      </c>
      <c r="K16" s="1074"/>
      <c r="L16" s="1074"/>
      <c r="M16" s="1074"/>
      <c r="N16" s="1074"/>
      <c r="O16" s="1074"/>
    </row>
    <row r="17" spans="1:15" s="290" customFormat="1" ht="15.75">
      <c r="A17" s="1220" t="s">
        <v>43</v>
      </c>
      <c r="B17" s="1220"/>
      <c r="C17" s="341"/>
      <c r="D17" s="341" t="s">
        <v>366</v>
      </c>
      <c r="J17" s="1191" t="s">
        <v>45</v>
      </c>
      <c r="K17" s="1191"/>
      <c r="L17" s="1191"/>
      <c r="M17" s="1191" t="s">
        <v>43</v>
      </c>
      <c r="N17" s="1191"/>
      <c r="O17" s="1191"/>
    </row>
    <row r="18" spans="1:15" s="14" customFormat="1" ht="18">
      <c r="A18" s="113"/>
      <c r="B18" s="113"/>
      <c r="C18" s="113"/>
      <c r="D18" s="113"/>
      <c r="H18" s="14" t="s">
        <v>69</v>
      </c>
      <c r="J18" s="11"/>
      <c r="K18" s="11"/>
      <c r="L18" s="11"/>
      <c r="M18" s="11"/>
      <c r="N18" s="11"/>
      <c r="O18" s="11"/>
    </row>
    <row r="19" spans="1:15" s="14" customFormat="1" ht="18">
      <c r="J19" s="11"/>
      <c r="K19" s="11"/>
      <c r="L19" s="11"/>
      <c r="M19" s="11"/>
      <c r="N19" s="11"/>
      <c r="O19" s="11"/>
    </row>
    <row r="20" spans="1:15" s="14" customFormat="1" ht="18">
      <c r="J20" s="11"/>
      <c r="K20" s="11"/>
      <c r="L20" s="11"/>
      <c r="M20" s="11"/>
      <c r="N20" s="11"/>
      <c r="O20" s="11"/>
    </row>
    <row r="21" spans="1:15" s="14" customFormat="1" ht="18">
      <c r="J21" s="11"/>
      <c r="K21" s="11"/>
      <c r="L21" s="11"/>
      <c r="M21" s="11"/>
      <c r="N21" s="11"/>
      <c r="O21" s="11"/>
    </row>
    <row r="22" spans="1:15" ht="18">
      <c r="J22" s="11"/>
      <c r="K22" s="11"/>
      <c r="L22" s="11"/>
      <c r="M22" s="11"/>
      <c r="N22" s="11"/>
      <c r="O22" s="11"/>
    </row>
    <row r="23" spans="1:15" s="229" customFormat="1" ht="18">
      <c r="A23" s="1109" t="s">
        <v>46</v>
      </c>
      <c r="B23" s="1109"/>
      <c r="D23" s="1109" t="s">
        <v>356</v>
      </c>
      <c r="E23" s="1109"/>
      <c r="F23" s="1109"/>
      <c r="G23" s="230"/>
      <c r="H23" s="230"/>
      <c r="J23" s="1074" t="s">
        <v>222</v>
      </c>
      <c r="K23" s="1074"/>
      <c r="L23" s="1074"/>
      <c r="M23" s="1074" t="s">
        <v>49</v>
      </c>
      <c r="N23" s="1074"/>
      <c r="O23" s="1074"/>
    </row>
  </sheetData>
  <mergeCells count="36">
    <mergeCell ref="D23:F23"/>
    <mergeCell ref="J23:L23"/>
    <mergeCell ref="M23:O23"/>
    <mergeCell ref="M17:O17"/>
    <mergeCell ref="A23:B23"/>
    <mergeCell ref="A17:B17"/>
    <mergeCell ref="B16:D16"/>
    <mergeCell ref="A7:A10"/>
    <mergeCell ref="B7:B10"/>
    <mergeCell ref="A14:B14"/>
    <mergeCell ref="J17:L17"/>
    <mergeCell ref="G9:G10"/>
    <mergeCell ref="H9:H10"/>
    <mergeCell ref="I9:I10"/>
    <mergeCell ref="A1:C1"/>
    <mergeCell ref="A2:C2"/>
    <mergeCell ref="E7:E10"/>
    <mergeCell ref="A4:O4"/>
    <mergeCell ref="A5:O5"/>
    <mergeCell ref="N7:N10"/>
    <mergeCell ref="O7:O10"/>
    <mergeCell ref="J1:O1"/>
    <mergeCell ref="J2:O2"/>
    <mergeCell ref="K8:M8"/>
    <mergeCell ref="K7:M7"/>
    <mergeCell ref="F7:F10"/>
    <mergeCell ref="G7:J7"/>
    <mergeCell ref="C7:C10"/>
    <mergeCell ref="D7:D10"/>
    <mergeCell ref="G8:J8"/>
    <mergeCell ref="M9:M10"/>
    <mergeCell ref="J15:O15"/>
    <mergeCell ref="J16:O16"/>
    <mergeCell ref="J9:J10"/>
    <mergeCell ref="K9:K10"/>
    <mergeCell ref="L9:L10"/>
  </mergeCells>
  <pageMargins left="0.25" right="0.25" top="0.33" bottom="0.33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M33"/>
  <sheetViews>
    <sheetView topLeftCell="A16" workbookViewId="0">
      <selection activeCell="J5" sqref="J5:J6"/>
    </sheetView>
  </sheetViews>
  <sheetFormatPr defaultRowHeight="15"/>
  <cols>
    <col min="1" max="1" width="3.7109375" style="323" customWidth="1"/>
    <col min="2" max="2" width="23.140625" customWidth="1"/>
    <col min="3" max="3" width="13.7109375" customWidth="1"/>
    <col min="4" max="4" width="10.5703125" customWidth="1"/>
    <col min="5" max="5" width="6.28515625" style="101" customWidth="1"/>
    <col min="6" max="6" width="13.5703125" customWidth="1"/>
    <col min="7" max="7" width="6.5703125" style="101" customWidth="1"/>
    <col min="8" max="8" width="13.5703125" customWidth="1"/>
    <col min="9" max="9" width="6.140625" style="101" customWidth="1"/>
    <col min="10" max="10" width="5.42578125" customWidth="1"/>
    <col min="11" max="11" width="4.5703125" customWidth="1"/>
    <col min="12" max="12" width="5" customWidth="1"/>
    <col min="13" max="13" width="8" style="101" customWidth="1"/>
    <col min="14" max="14" width="5.85546875" style="101" customWidth="1"/>
    <col min="15" max="15" width="7.5703125" style="101" customWidth="1"/>
    <col min="16" max="16" width="12.85546875" style="101" customWidth="1"/>
    <col min="17" max="17" width="7.5703125" customWidth="1"/>
  </cols>
  <sheetData>
    <row r="1" spans="1:17" s="14" customFormat="1" ht="18" customHeight="1">
      <c r="A1" s="1229" t="s">
        <v>0</v>
      </c>
      <c r="B1" s="1229"/>
      <c r="C1" s="1229"/>
      <c r="D1" s="110"/>
      <c r="E1" s="109"/>
      <c r="F1" s="110"/>
      <c r="G1" s="109"/>
      <c r="H1" s="110"/>
      <c r="I1" s="109"/>
      <c r="J1" s="1123" t="s">
        <v>1</v>
      </c>
      <c r="K1" s="1123"/>
      <c r="L1" s="1123"/>
      <c r="M1" s="1123"/>
      <c r="N1" s="1123"/>
      <c r="O1" s="1123"/>
      <c r="P1" s="1123"/>
      <c r="Q1" s="1123"/>
    </row>
    <row r="2" spans="1:17" s="14" customFormat="1" ht="14.25" customHeight="1">
      <c r="A2" s="1230" t="s">
        <v>154</v>
      </c>
      <c r="B2" s="1230"/>
      <c r="C2" s="1230"/>
      <c r="D2" s="110"/>
      <c r="E2" s="109"/>
      <c r="F2" s="110"/>
      <c r="G2" s="109"/>
      <c r="H2" s="110"/>
      <c r="I2" s="109"/>
      <c r="J2" s="1231" t="s">
        <v>155</v>
      </c>
      <c r="K2" s="1231"/>
      <c r="L2" s="1231"/>
      <c r="M2" s="1231"/>
      <c r="N2" s="1231"/>
      <c r="O2" s="1231"/>
      <c r="P2" s="1231"/>
      <c r="Q2" s="1231"/>
    </row>
    <row r="3" spans="1:17">
      <c r="A3" s="792"/>
      <c r="B3" s="94"/>
      <c r="C3" s="94"/>
      <c r="D3" s="94"/>
      <c r="E3" s="98"/>
      <c r="F3" s="94"/>
      <c r="G3" s="98"/>
      <c r="H3" s="94"/>
      <c r="I3" s="98"/>
      <c r="J3" s="94"/>
      <c r="K3" s="94"/>
      <c r="L3" s="94"/>
      <c r="M3" s="98"/>
      <c r="N3" s="98"/>
      <c r="O3" s="98"/>
      <c r="P3" s="98"/>
      <c r="Q3" s="94"/>
    </row>
    <row r="4" spans="1:17" ht="23.25" customHeight="1">
      <c r="A4" s="1231" t="s">
        <v>368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  <c r="L4" s="1231"/>
      <c r="M4" s="1231"/>
      <c r="N4" s="1231"/>
      <c r="O4" s="1231"/>
      <c r="P4" s="1231"/>
      <c r="Q4" s="1231"/>
    </row>
    <row r="5" spans="1:17" s="115" customFormat="1" ht="26.25" customHeight="1">
      <c r="A5" s="1222" t="s">
        <v>5</v>
      </c>
      <c r="B5" s="1222" t="s">
        <v>6</v>
      </c>
      <c r="C5" s="1222" t="s">
        <v>7</v>
      </c>
      <c r="D5" s="1222" t="s">
        <v>8</v>
      </c>
      <c r="E5" s="1222" t="s">
        <v>156</v>
      </c>
      <c r="F5" s="1222" t="s">
        <v>157</v>
      </c>
      <c r="G5" s="1222" t="s">
        <v>218</v>
      </c>
      <c r="H5" s="1222" t="s">
        <v>157</v>
      </c>
      <c r="I5" s="1222" t="s">
        <v>159</v>
      </c>
      <c r="J5" s="1232" t="s">
        <v>151</v>
      </c>
      <c r="K5" s="1223" t="s">
        <v>160</v>
      </c>
      <c r="L5" s="1224"/>
      <c r="M5" s="1225"/>
      <c r="N5" s="1226" t="s">
        <v>161</v>
      </c>
      <c r="O5" s="1227"/>
      <c r="P5" s="1222" t="s">
        <v>162</v>
      </c>
      <c r="Q5" s="1222" t="s">
        <v>13</v>
      </c>
    </row>
    <row r="6" spans="1:17" ht="28.5">
      <c r="A6" s="1149"/>
      <c r="B6" s="1149"/>
      <c r="C6" s="1149"/>
      <c r="D6" s="1149"/>
      <c r="E6" s="1149"/>
      <c r="F6" s="1149"/>
      <c r="G6" s="1149"/>
      <c r="H6" s="1149"/>
      <c r="I6" s="1149"/>
      <c r="J6" s="1233"/>
      <c r="K6" s="118" t="s">
        <v>9</v>
      </c>
      <c r="L6" s="118" t="s">
        <v>24</v>
      </c>
      <c r="M6" s="119" t="s">
        <v>9</v>
      </c>
      <c r="N6" s="100" t="s">
        <v>24</v>
      </c>
      <c r="O6" s="100" t="s">
        <v>9</v>
      </c>
      <c r="P6" s="1149"/>
      <c r="Q6" s="1149"/>
    </row>
    <row r="7" spans="1:17">
      <c r="A7" s="793"/>
      <c r="B7" s="124" t="s">
        <v>163</v>
      </c>
      <c r="C7" s="116"/>
      <c r="D7" s="116"/>
      <c r="E7" s="117"/>
      <c r="F7" s="116"/>
      <c r="G7" s="117"/>
      <c r="H7" s="116"/>
      <c r="I7" s="117"/>
      <c r="J7" s="116"/>
      <c r="K7" s="116"/>
      <c r="L7" s="116"/>
      <c r="M7" s="117"/>
      <c r="N7" s="117"/>
      <c r="O7" s="117"/>
      <c r="P7" s="117"/>
      <c r="Q7" s="116"/>
    </row>
    <row r="8" spans="1:17" s="105" customFormat="1" ht="31.5">
      <c r="A8" s="794">
        <v>1</v>
      </c>
      <c r="B8" s="102" t="s">
        <v>49</v>
      </c>
      <c r="C8" s="103">
        <v>25029</v>
      </c>
      <c r="D8" s="102" t="s">
        <v>164</v>
      </c>
      <c r="E8" s="104">
        <v>5.42</v>
      </c>
      <c r="F8" s="103">
        <v>42401</v>
      </c>
      <c r="G8" s="104">
        <v>5.76</v>
      </c>
      <c r="H8" s="795">
        <v>43282</v>
      </c>
      <c r="I8" s="104">
        <f>G8-E8</f>
        <v>0.33999999999999986</v>
      </c>
      <c r="J8" s="102"/>
      <c r="K8" s="102"/>
      <c r="L8" s="102">
        <v>60</v>
      </c>
      <c r="M8" s="304">
        <f>L8%*I8</f>
        <v>0.2039999999999999</v>
      </c>
      <c r="N8" s="104">
        <v>23.5</v>
      </c>
      <c r="O8" s="304">
        <f>N8%*I8</f>
        <v>7.9899999999999957E-2</v>
      </c>
      <c r="P8" s="104">
        <v>867221</v>
      </c>
      <c r="Q8" s="102"/>
    </row>
    <row r="9" spans="1:17" s="105" customFormat="1" ht="31.5">
      <c r="A9" s="794">
        <v>2</v>
      </c>
      <c r="B9" s="102" t="s">
        <v>97</v>
      </c>
      <c r="C9" s="103">
        <v>28806</v>
      </c>
      <c r="D9" s="102" t="s">
        <v>165</v>
      </c>
      <c r="E9" s="104">
        <v>3</v>
      </c>
      <c r="F9" s="103">
        <v>42384</v>
      </c>
      <c r="G9" s="104">
        <v>3.33</v>
      </c>
      <c r="H9" s="795">
        <v>43266</v>
      </c>
      <c r="I9" s="104">
        <f t="shared" ref="I9:I14" si="0">G9-E9</f>
        <v>0.33000000000000007</v>
      </c>
      <c r="J9" s="102"/>
      <c r="K9" s="102"/>
      <c r="L9" s="102">
        <v>40</v>
      </c>
      <c r="M9" s="304">
        <f t="shared" ref="M9:M22" si="1">L9%*I9</f>
        <v>0.13200000000000003</v>
      </c>
      <c r="N9" s="104">
        <v>23.5</v>
      </c>
      <c r="O9" s="304">
        <f t="shared" ref="O9:O21" si="2">N9%*I9</f>
        <v>7.7550000000000008E-2</v>
      </c>
      <c r="P9" s="104">
        <v>749975</v>
      </c>
      <c r="Q9" s="102"/>
    </row>
    <row r="10" spans="1:17" s="105" customFormat="1" ht="31.5">
      <c r="A10" s="794">
        <v>3</v>
      </c>
      <c r="B10" s="102" t="s">
        <v>166</v>
      </c>
      <c r="C10" s="103">
        <v>27720</v>
      </c>
      <c r="D10" s="102" t="s">
        <v>29</v>
      </c>
      <c r="E10" s="104">
        <v>2.86</v>
      </c>
      <c r="F10" s="103">
        <v>42840</v>
      </c>
      <c r="G10" s="104">
        <v>3.06</v>
      </c>
      <c r="H10" s="103">
        <v>43570</v>
      </c>
      <c r="I10" s="104">
        <f t="shared" si="0"/>
        <v>0.20000000000000018</v>
      </c>
      <c r="J10" s="102"/>
      <c r="K10" s="102"/>
      <c r="L10" s="102">
        <v>40</v>
      </c>
      <c r="M10" s="304">
        <f t="shared" si="1"/>
        <v>8.0000000000000071E-2</v>
      </c>
      <c r="N10" s="104">
        <v>23.5</v>
      </c>
      <c r="O10" s="304">
        <f t="shared" si="2"/>
        <v>4.7000000000000042E-2</v>
      </c>
      <c r="P10" s="104">
        <v>454530</v>
      </c>
      <c r="Q10" s="102"/>
    </row>
    <row r="11" spans="1:17" s="105" customFormat="1" ht="31.5">
      <c r="A11" s="794">
        <v>4</v>
      </c>
      <c r="B11" s="102" t="s">
        <v>167</v>
      </c>
      <c r="C11" s="103">
        <v>29462</v>
      </c>
      <c r="D11" s="102" t="s">
        <v>36</v>
      </c>
      <c r="E11" s="104">
        <v>2.86</v>
      </c>
      <c r="F11" s="103">
        <v>42840</v>
      </c>
      <c r="G11" s="104">
        <v>3.06</v>
      </c>
      <c r="H11" s="103">
        <v>43570</v>
      </c>
      <c r="I11" s="104">
        <f t="shared" si="0"/>
        <v>0.20000000000000018</v>
      </c>
      <c r="J11" s="102"/>
      <c r="K11" s="102"/>
      <c r="L11" s="102">
        <v>40</v>
      </c>
      <c r="M11" s="304">
        <f t="shared" si="1"/>
        <v>8.0000000000000071E-2</v>
      </c>
      <c r="N11" s="104">
        <v>23.5</v>
      </c>
      <c r="O11" s="304">
        <f t="shared" si="2"/>
        <v>4.7000000000000042E-2</v>
      </c>
      <c r="P11" s="104">
        <v>454530</v>
      </c>
      <c r="Q11" s="102"/>
    </row>
    <row r="12" spans="1:17" s="105" customFormat="1" ht="31.5">
      <c r="A12" s="794">
        <v>5</v>
      </c>
      <c r="B12" s="102" t="s">
        <v>168</v>
      </c>
      <c r="C12" s="103">
        <v>24712</v>
      </c>
      <c r="D12" s="102" t="s">
        <v>31</v>
      </c>
      <c r="E12" s="104">
        <v>4.32</v>
      </c>
      <c r="F12" s="103">
        <v>42491</v>
      </c>
      <c r="G12" s="104">
        <v>4.6500000000000004</v>
      </c>
      <c r="H12" s="103">
        <v>43586</v>
      </c>
      <c r="I12" s="104">
        <f t="shared" si="0"/>
        <v>0.33000000000000007</v>
      </c>
      <c r="J12" s="102"/>
      <c r="K12" s="102"/>
      <c r="L12" s="102">
        <v>40</v>
      </c>
      <c r="M12" s="304">
        <f t="shared" si="1"/>
        <v>0.13200000000000003</v>
      </c>
      <c r="N12" s="104">
        <v>23.5</v>
      </c>
      <c r="O12" s="304">
        <f t="shared" si="2"/>
        <v>7.7550000000000008E-2</v>
      </c>
      <c r="P12" s="104">
        <v>749975</v>
      </c>
      <c r="Q12" s="102"/>
    </row>
    <row r="13" spans="1:17" s="105" customFormat="1" ht="31.5">
      <c r="A13" s="794">
        <v>6</v>
      </c>
      <c r="B13" s="102" t="s">
        <v>169</v>
      </c>
      <c r="C13" s="103">
        <v>25829</v>
      </c>
      <c r="D13" s="102" t="s">
        <v>34</v>
      </c>
      <c r="E13" s="104">
        <v>3.86</v>
      </c>
      <c r="F13" s="103">
        <v>42856</v>
      </c>
      <c r="G13" s="104">
        <v>4.0599999999999996</v>
      </c>
      <c r="H13" s="103">
        <v>43586</v>
      </c>
      <c r="I13" s="104">
        <f t="shared" si="0"/>
        <v>0.19999999999999973</v>
      </c>
      <c r="J13" s="102"/>
      <c r="K13" s="102"/>
      <c r="L13" s="102">
        <v>40</v>
      </c>
      <c r="M13" s="304">
        <f t="shared" si="1"/>
        <v>7.9999999999999905E-2</v>
      </c>
      <c r="N13" s="104">
        <v>23.5</v>
      </c>
      <c r="O13" s="304">
        <f t="shared" si="2"/>
        <v>4.6999999999999938E-2</v>
      </c>
      <c r="P13" s="104">
        <v>454530</v>
      </c>
      <c r="Q13" s="102"/>
    </row>
    <row r="14" spans="1:17" s="105" customFormat="1" ht="31.5">
      <c r="A14" s="794">
        <v>7</v>
      </c>
      <c r="B14" s="102" t="s">
        <v>172</v>
      </c>
      <c r="C14" s="103">
        <v>32174</v>
      </c>
      <c r="D14" s="102" t="s">
        <v>173</v>
      </c>
      <c r="E14" s="104">
        <v>2.34</v>
      </c>
      <c r="F14" s="103">
        <v>42370</v>
      </c>
      <c r="G14" s="104">
        <v>2.67</v>
      </c>
      <c r="H14" s="103">
        <v>43466</v>
      </c>
      <c r="I14" s="104">
        <f t="shared" si="0"/>
        <v>0.33000000000000007</v>
      </c>
      <c r="J14" s="102"/>
      <c r="K14" s="102"/>
      <c r="L14" s="102">
        <v>40</v>
      </c>
      <c r="M14" s="304">
        <f t="shared" si="1"/>
        <v>0.13200000000000003</v>
      </c>
      <c r="N14" s="104">
        <v>23.5</v>
      </c>
      <c r="O14" s="304">
        <f t="shared" si="2"/>
        <v>7.7550000000000008E-2</v>
      </c>
      <c r="P14" s="104">
        <v>749975</v>
      </c>
      <c r="Q14" s="102"/>
    </row>
    <row r="15" spans="1:17" s="105" customFormat="1" ht="15.75">
      <c r="A15" s="794"/>
      <c r="B15" s="123" t="s">
        <v>174</v>
      </c>
      <c r="C15" s="102"/>
      <c r="D15" s="102"/>
      <c r="E15" s="104"/>
      <c r="F15" s="102"/>
      <c r="G15" s="104"/>
      <c r="H15" s="103"/>
      <c r="I15" s="104"/>
      <c r="J15" s="102"/>
      <c r="K15" s="102"/>
      <c r="L15" s="102"/>
      <c r="M15" s="304">
        <f t="shared" si="1"/>
        <v>0</v>
      </c>
      <c r="N15" s="104"/>
      <c r="O15" s="304"/>
      <c r="P15" s="104"/>
      <c r="Q15" s="102"/>
    </row>
    <row r="16" spans="1:17" s="105" customFormat="1" ht="31.5">
      <c r="A16" s="794">
        <v>1</v>
      </c>
      <c r="B16" s="102" t="s">
        <v>175</v>
      </c>
      <c r="C16" s="103">
        <v>32005</v>
      </c>
      <c r="D16" s="102" t="s">
        <v>176</v>
      </c>
      <c r="E16" s="104">
        <v>2.72</v>
      </c>
      <c r="F16" s="103">
        <v>42522</v>
      </c>
      <c r="G16" s="303">
        <v>3.03</v>
      </c>
      <c r="H16" s="103">
        <v>43617</v>
      </c>
      <c r="I16" s="104">
        <f t="shared" ref="I16:I22" si="3">G16-E16</f>
        <v>0.30999999999999961</v>
      </c>
      <c r="J16" s="102"/>
      <c r="K16" s="102"/>
      <c r="L16" s="102"/>
      <c r="M16" s="304">
        <f t="shared" si="1"/>
        <v>0</v>
      </c>
      <c r="N16" s="104">
        <v>23.5</v>
      </c>
      <c r="O16" s="304">
        <f t="shared" si="2"/>
        <v>7.2849999999999901E-2</v>
      </c>
      <c r="P16" s="104">
        <v>532162</v>
      </c>
      <c r="Q16" s="102"/>
    </row>
    <row r="17" spans="1:117" s="105" customFormat="1" ht="31.5">
      <c r="A17" s="794">
        <v>2</v>
      </c>
      <c r="B17" s="102" t="s">
        <v>177</v>
      </c>
      <c r="C17" s="103">
        <v>31547</v>
      </c>
      <c r="D17" s="102" t="s">
        <v>60</v>
      </c>
      <c r="E17" s="104">
        <v>2.67</v>
      </c>
      <c r="F17" s="103">
        <v>42370</v>
      </c>
      <c r="G17" s="796">
        <v>3</v>
      </c>
      <c r="H17" s="795">
        <v>43252</v>
      </c>
      <c r="I17" s="104">
        <f t="shared" si="3"/>
        <v>0.33000000000000007</v>
      </c>
      <c r="J17" s="102"/>
      <c r="K17" s="102"/>
      <c r="L17" s="102">
        <v>70</v>
      </c>
      <c r="M17" s="304">
        <f t="shared" si="1"/>
        <v>0.23100000000000004</v>
      </c>
      <c r="N17" s="104">
        <v>23.5</v>
      </c>
      <c r="O17" s="304">
        <f t="shared" si="2"/>
        <v>7.7550000000000008E-2</v>
      </c>
      <c r="P17" s="104">
        <v>887585</v>
      </c>
      <c r="Q17" s="102"/>
    </row>
    <row r="18" spans="1:117" s="105" customFormat="1" ht="31.5">
      <c r="A18" s="794">
        <v>3</v>
      </c>
      <c r="B18" s="102" t="s">
        <v>178</v>
      </c>
      <c r="C18" s="103">
        <v>33601</v>
      </c>
      <c r="D18" s="102" t="s">
        <v>60</v>
      </c>
      <c r="E18" s="104">
        <v>2.34</v>
      </c>
      <c r="F18" s="103">
        <v>42370</v>
      </c>
      <c r="G18" s="104">
        <v>2.67</v>
      </c>
      <c r="H18" s="103">
        <v>43466</v>
      </c>
      <c r="I18" s="104">
        <f t="shared" si="3"/>
        <v>0.33000000000000007</v>
      </c>
      <c r="J18" s="102"/>
      <c r="K18" s="102"/>
      <c r="L18" s="102">
        <v>40</v>
      </c>
      <c r="M18" s="304">
        <f t="shared" si="1"/>
        <v>0.13200000000000003</v>
      </c>
      <c r="N18" s="104">
        <v>23.5</v>
      </c>
      <c r="O18" s="304">
        <f t="shared" si="2"/>
        <v>7.7550000000000008E-2</v>
      </c>
      <c r="P18" s="104">
        <v>749975</v>
      </c>
      <c r="Q18" s="102"/>
    </row>
    <row r="19" spans="1:117" s="105" customFormat="1" ht="31.5">
      <c r="A19" s="794">
        <v>4</v>
      </c>
      <c r="B19" s="102" t="s">
        <v>179</v>
      </c>
      <c r="C19" s="103">
        <v>31608</v>
      </c>
      <c r="D19" s="102" t="s">
        <v>38</v>
      </c>
      <c r="E19" s="104">
        <v>2.46</v>
      </c>
      <c r="F19" s="103">
        <v>42887</v>
      </c>
      <c r="G19" s="104">
        <v>2.66</v>
      </c>
      <c r="H19" s="103">
        <v>43617</v>
      </c>
      <c r="I19" s="104">
        <f t="shared" si="3"/>
        <v>0.20000000000000018</v>
      </c>
      <c r="J19" s="102"/>
      <c r="K19" s="102"/>
      <c r="L19" s="102">
        <v>40</v>
      </c>
      <c r="M19" s="304">
        <f t="shared" si="1"/>
        <v>8.0000000000000071E-2</v>
      </c>
      <c r="N19" s="104">
        <v>23.5</v>
      </c>
      <c r="O19" s="304">
        <f t="shared" si="2"/>
        <v>4.7000000000000042E-2</v>
      </c>
      <c r="P19" s="104">
        <v>454530</v>
      </c>
      <c r="Q19" s="102"/>
    </row>
    <row r="20" spans="1:117" s="105" customFormat="1" ht="31.5">
      <c r="A20" s="794">
        <v>5</v>
      </c>
      <c r="B20" s="102" t="s">
        <v>180</v>
      </c>
      <c r="C20" s="103">
        <v>28856</v>
      </c>
      <c r="D20" s="102" t="s">
        <v>38</v>
      </c>
      <c r="E20" s="104">
        <v>2.86</v>
      </c>
      <c r="F20" s="103">
        <v>42856</v>
      </c>
      <c r="G20" s="104">
        <v>3.06</v>
      </c>
      <c r="H20" s="103">
        <v>43586</v>
      </c>
      <c r="I20" s="104">
        <f t="shared" si="3"/>
        <v>0.20000000000000018</v>
      </c>
      <c r="J20" s="102"/>
      <c r="K20" s="102"/>
      <c r="L20" s="102">
        <v>40</v>
      </c>
      <c r="M20" s="304">
        <f t="shared" si="1"/>
        <v>8.0000000000000071E-2</v>
      </c>
      <c r="N20" s="104">
        <v>23.5</v>
      </c>
      <c r="O20" s="304">
        <f t="shared" si="2"/>
        <v>4.7000000000000042E-2</v>
      </c>
      <c r="P20" s="104">
        <v>454530</v>
      </c>
      <c r="Q20" s="102"/>
    </row>
    <row r="21" spans="1:117" s="105" customFormat="1" ht="31.5">
      <c r="A21" s="794">
        <v>6</v>
      </c>
      <c r="B21" s="102" t="s">
        <v>181</v>
      </c>
      <c r="C21" s="103">
        <v>29874</v>
      </c>
      <c r="D21" s="102" t="s">
        <v>29</v>
      </c>
      <c r="E21" s="104">
        <v>2.46</v>
      </c>
      <c r="F21" s="103">
        <v>42887</v>
      </c>
      <c r="G21" s="104">
        <v>2.66</v>
      </c>
      <c r="H21" s="103">
        <v>43617</v>
      </c>
      <c r="I21" s="104">
        <f t="shared" si="3"/>
        <v>0.20000000000000018</v>
      </c>
      <c r="J21" s="102"/>
      <c r="K21" s="102"/>
      <c r="L21" s="102">
        <v>40</v>
      </c>
      <c r="M21" s="304">
        <f t="shared" si="1"/>
        <v>8.0000000000000071E-2</v>
      </c>
      <c r="N21" s="104">
        <v>23.5</v>
      </c>
      <c r="O21" s="304">
        <f t="shared" si="2"/>
        <v>4.7000000000000042E-2</v>
      </c>
      <c r="P21" s="104">
        <v>454530</v>
      </c>
      <c r="Q21" s="102"/>
    </row>
    <row r="22" spans="1:117" s="105" customFormat="1" ht="31.5">
      <c r="A22" s="800">
        <v>7</v>
      </c>
      <c r="B22" s="106" t="s">
        <v>182</v>
      </c>
      <c r="C22" s="107">
        <v>31853</v>
      </c>
      <c r="D22" s="106" t="s">
        <v>34</v>
      </c>
      <c r="E22" s="108">
        <v>2.46</v>
      </c>
      <c r="F22" s="107">
        <v>42887</v>
      </c>
      <c r="G22" s="108">
        <v>2.66</v>
      </c>
      <c r="H22" s="107">
        <v>43617</v>
      </c>
      <c r="I22" s="108">
        <f t="shared" si="3"/>
        <v>0.20000000000000018</v>
      </c>
      <c r="J22" s="106"/>
      <c r="K22" s="106"/>
      <c r="L22" s="106">
        <v>40</v>
      </c>
      <c r="M22" s="798">
        <f t="shared" si="1"/>
        <v>8.0000000000000071E-2</v>
      </c>
      <c r="N22" s="108">
        <v>23.5</v>
      </c>
      <c r="O22" s="798">
        <f>N22%*I22</f>
        <v>4.7000000000000042E-2</v>
      </c>
      <c r="P22" s="108">
        <v>454530</v>
      </c>
      <c r="Q22" s="106"/>
    </row>
    <row r="23" spans="1:117" s="383" customFormat="1" ht="15.75">
      <c r="A23" s="799"/>
      <c r="B23" s="378" t="s">
        <v>477</v>
      </c>
      <c r="C23" s="379"/>
      <c r="D23" s="378"/>
      <c r="E23" s="380">
        <f>SUM(E8:E22)</f>
        <v>42.63</v>
      </c>
      <c r="F23" s="379"/>
      <c r="G23" s="380">
        <f>SUM(G8:G22)</f>
        <v>46.33</v>
      </c>
      <c r="H23" s="379"/>
      <c r="I23" s="381">
        <f>SUM(I8:I22)</f>
        <v>3.7000000000000006</v>
      </c>
      <c r="J23" s="378"/>
      <c r="K23" s="378"/>
      <c r="L23" s="378"/>
      <c r="M23" s="797">
        <f>SUM(M8:M22)</f>
        <v>1.5230000000000004</v>
      </c>
      <c r="N23" s="381"/>
      <c r="O23" s="797">
        <f>SUM(O8:O22)</f>
        <v>0.86950000000000005</v>
      </c>
      <c r="P23" s="382">
        <f>SUM(P8:P22)</f>
        <v>8468578</v>
      </c>
      <c r="Q23" s="378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3"/>
      <c r="BI23" s="373"/>
      <c r="BJ23" s="373"/>
      <c r="BK23" s="373"/>
      <c r="BL23" s="373"/>
      <c r="BM23" s="373"/>
      <c r="BN23" s="373"/>
      <c r="BO23" s="373"/>
      <c r="BP23" s="373"/>
      <c r="BQ23" s="373"/>
      <c r="BR23" s="373"/>
      <c r="BS23" s="373"/>
      <c r="BT23" s="373"/>
      <c r="BU23" s="373"/>
      <c r="BV23" s="373"/>
      <c r="BW23" s="373"/>
      <c r="BX23" s="373"/>
      <c r="BY23" s="373"/>
      <c r="BZ23" s="373"/>
      <c r="CA23" s="373"/>
      <c r="CB23" s="373"/>
      <c r="CC23" s="373"/>
      <c r="CD23" s="373"/>
      <c r="CE23" s="373"/>
      <c r="CF23" s="373"/>
      <c r="CG23" s="373"/>
      <c r="CH23" s="373"/>
      <c r="CI23" s="373"/>
      <c r="CJ23" s="373"/>
      <c r="CK23" s="373"/>
      <c r="CL23" s="373"/>
      <c r="CM23" s="373"/>
      <c r="CN23" s="373"/>
      <c r="CO23" s="373"/>
      <c r="CP23" s="373"/>
      <c r="CQ23" s="373"/>
      <c r="CR23" s="373"/>
      <c r="CS23" s="373"/>
      <c r="CT23" s="373"/>
      <c r="CU23" s="373"/>
      <c r="CV23" s="373"/>
      <c r="CW23" s="373"/>
      <c r="CX23" s="373"/>
      <c r="CY23" s="373"/>
      <c r="CZ23" s="373"/>
      <c r="DA23" s="373"/>
      <c r="DB23" s="373"/>
      <c r="DC23" s="373"/>
      <c r="DD23" s="373"/>
      <c r="DE23" s="373"/>
      <c r="DF23" s="373"/>
      <c r="DG23" s="373"/>
      <c r="DH23" s="373"/>
      <c r="DI23" s="373"/>
      <c r="DJ23" s="373"/>
      <c r="DK23" s="373"/>
      <c r="DL23" s="373"/>
      <c r="DM23" s="373"/>
    </row>
    <row r="24" spans="1:117" s="122" customFormat="1" ht="16.5" customHeight="1">
      <c r="A24" s="1125" t="s">
        <v>367</v>
      </c>
      <c r="B24" s="1125"/>
      <c r="C24" s="1125"/>
      <c r="D24" s="1125"/>
      <c r="E24" s="121"/>
      <c r="F24" s="120"/>
      <c r="G24" s="121"/>
      <c r="H24" s="120"/>
      <c r="I24" s="121"/>
      <c r="J24" s="1228" t="s">
        <v>216</v>
      </c>
      <c r="K24" s="1228"/>
      <c r="L24" s="1228"/>
      <c r="M24" s="1228"/>
      <c r="N24" s="1228"/>
      <c r="O24" s="1228"/>
      <c r="P24" s="1228"/>
      <c r="Q24" s="1228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</row>
    <row r="25" spans="1:117" s="113" customFormat="1" ht="21" customHeight="1">
      <c r="A25" s="1123" t="s">
        <v>217</v>
      </c>
      <c r="B25" s="1123"/>
      <c r="C25" s="1123"/>
      <c r="D25" s="1123"/>
      <c r="E25" s="1123"/>
      <c r="F25" s="1123"/>
      <c r="G25" s="111"/>
      <c r="H25" s="112"/>
      <c r="I25" s="111"/>
      <c r="J25" s="1123" t="s">
        <v>42</v>
      </c>
      <c r="K25" s="1123"/>
      <c r="L25" s="1123"/>
      <c r="M25" s="1123"/>
      <c r="N25" s="1123"/>
      <c r="O25" s="1123"/>
      <c r="P25" s="1123"/>
      <c r="Q25" s="1123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</row>
    <row r="26" spans="1:117" s="113" customFormat="1" ht="24" customHeight="1">
      <c r="A26" s="1123" t="s">
        <v>183</v>
      </c>
      <c r="B26" s="1123"/>
      <c r="C26" s="112"/>
      <c r="D26" s="1123" t="s">
        <v>184</v>
      </c>
      <c r="E26" s="1123"/>
      <c r="F26" s="1123"/>
      <c r="G26" s="111"/>
      <c r="H26" s="112"/>
      <c r="I26" s="1123" t="s">
        <v>45</v>
      </c>
      <c r="J26" s="1123"/>
      <c r="K26" s="1123"/>
      <c r="L26" s="1123"/>
      <c r="M26" s="111"/>
      <c r="N26" s="1123" t="s">
        <v>43</v>
      </c>
      <c r="O26" s="1123"/>
      <c r="P26" s="1123"/>
      <c r="Q26" s="1123"/>
    </row>
    <row r="27" spans="1:117" s="14" customFormat="1" ht="14.25">
      <c r="A27" s="746"/>
      <c r="B27" s="110"/>
      <c r="C27" s="110"/>
      <c r="D27" s="110"/>
      <c r="E27" s="109"/>
      <c r="F27" s="110"/>
      <c r="G27" s="109"/>
      <c r="H27" s="110"/>
      <c r="I27" s="109"/>
      <c r="J27" s="110"/>
      <c r="K27" s="110"/>
      <c r="L27" s="110"/>
      <c r="M27" s="109"/>
      <c r="N27" s="109"/>
      <c r="O27" s="109"/>
      <c r="P27" s="109"/>
      <c r="Q27" s="110"/>
    </row>
    <row r="28" spans="1:117" s="14" customFormat="1" ht="14.25">
      <c r="A28" s="746"/>
      <c r="B28" s="110"/>
      <c r="C28" s="110"/>
      <c r="D28" s="110"/>
      <c r="E28" s="109"/>
      <c r="F28" s="110"/>
      <c r="G28" s="109"/>
      <c r="H28" s="110"/>
      <c r="I28" s="109"/>
      <c r="J28" s="110"/>
      <c r="K28" s="110"/>
      <c r="L28" s="110"/>
      <c r="M28" s="109"/>
      <c r="N28" s="109"/>
      <c r="O28" s="109"/>
      <c r="P28" s="109"/>
      <c r="Q28" s="110"/>
    </row>
    <row r="29" spans="1:117" s="14" customFormat="1" ht="14.25">
      <c r="A29" s="746"/>
      <c r="B29" s="110"/>
      <c r="C29" s="110"/>
      <c r="D29" s="110"/>
      <c r="E29" s="109"/>
      <c r="F29" s="110"/>
      <c r="G29" s="109"/>
      <c r="H29" s="110"/>
      <c r="I29" s="109"/>
      <c r="J29" s="110"/>
      <c r="K29" s="110"/>
      <c r="L29" s="110"/>
      <c r="M29" s="109"/>
      <c r="N29" s="109"/>
      <c r="O29" s="109"/>
      <c r="P29" s="109"/>
      <c r="Q29" s="110"/>
    </row>
    <row r="30" spans="1:117" s="14" customFormat="1" ht="14.25">
      <c r="A30" s="746"/>
      <c r="B30" s="110"/>
      <c r="C30" s="110"/>
      <c r="D30" s="110"/>
      <c r="E30" s="109"/>
      <c r="F30" s="110"/>
      <c r="G30" s="109"/>
      <c r="H30" s="110"/>
      <c r="I30" s="109"/>
      <c r="J30" s="110"/>
      <c r="K30" s="110"/>
      <c r="L30" s="110"/>
      <c r="M30" s="109"/>
      <c r="N30" s="109"/>
      <c r="O30" s="109"/>
      <c r="P30" s="109"/>
      <c r="Q30" s="110"/>
    </row>
    <row r="31" spans="1:117" s="14" customFormat="1" ht="14.25">
      <c r="A31" s="746"/>
      <c r="B31" s="110"/>
      <c r="C31" s="110"/>
      <c r="D31" s="110"/>
      <c r="E31" s="109"/>
      <c r="F31" s="110"/>
      <c r="G31" s="109"/>
      <c r="H31" s="110"/>
      <c r="I31" s="109"/>
      <c r="J31" s="110"/>
      <c r="K31" s="110"/>
      <c r="L31" s="110"/>
      <c r="M31" s="109"/>
      <c r="N31" s="109"/>
      <c r="O31" s="109"/>
      <c r="P31" s="109"/>
      <c r="Q31" s="110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</row>
    <row r="32" spans="1:117" s="258" customFormat="1" ht="26.25" customHeight="1">
      <c r="A32" s="1221" t="s">
        <v>46</v>
      </c>
      <c r="B32" s="1221"/>
      <c r="C32" s="780"/>
      <c r="D32" s="1191" t="s">
        <v>356</v>
      </c>
      <c r="E32" s="1191"/>
      <c r="F32" s="1191"/>
      <c r="G32" s="781"/>
      <c r="H32" s="780"/>
      <c r="I32" s="1221" t="s">
        <v>222</v>
      </c>
      <c r="J32" s="1221"/>
      <c r="K32" s="1221"/>
      <c r="L32" s="1221"/>
      <c r="M32" s="782"/>
      <c r="N32" s="1221" t="s">
        <v>49</v>
      </c>
      <c r="O32" s="1221"/>
      <c r="P32" s="1221"/>
      <c r="Q32" s="1221"/>
      <c r="R32" s="783"/>
      <c r="S32" s="783"/>
      <c r="T32" s="783"/>
      <c r="U32" s="783"/>
      <c r="V32" s="783"/>
      <c r="W32" s="783"/>
      <c r="X32" s="783"/>
      <c r="Y32" s="783"/>
      <c r="Z32" s="783"/>
      <c r="AA32" s="783"/>
      <c r="AB32" s="783"/>
      <c r="AC32" s="783"/>
      <c r="AD32" s="783"/>
      <c r="AE32" s="783"/>
      <c r="AF32" s="783"/>
      <c r="AG32" s="783"/>
      <c r="AH32" s="783"/>
      <c r="AI32" s="783"/>
      <c r="AJ32" s="783"/>
      <c r="AK32" s="783"/>
      <c r="AL32" s="783"/>
      <c r="AM32" s="783"/>
      <c r="AN32" s="783"/>
      <c r="AO32" s="783"/>
      <c r="AP32" s="783"/>
      <c r="AQ32" s="783"/>
      <c r="AR32" s="783"/>
      <c r="AS32" s="783"/>
      <c r="AT32" s="783"/>
      <c r="AU32" s="783"/>
      <c r="AV32" s="783"/>
      <c r="AW32" s="783"/>
      <c r="AX32" s="783"/>
      <c r="AY32" s="783"/>
      <c r="AZ32" s="783"/>
      <c r="BA32" s="783"/>
      <c r="BB32" s="783"/>
      <c r="BC32" s="783"/>
      <c r="BD32" s="783"/>
      <c r="BE32" s="783"/>
      <c r="BF32" s="783"/>
      <c r="BG32" s="783"/>
      <c r="BH32" s="783"/>
      <c r="BI32" s="783"/>
      <c r="BJ32" s="783"/>
      <c r="BK32" s="783"/>
      <c r="BL32" s="783"/>
      <c r="BM32" s="783"/>
      <c r="BN32" s="783"/>
      <c r="BO32" s="783"/>
      <c r="BP32" s="783"/>
      <c r="BQ32" s="783"/>
      <c r="BR32" s="783"/>
      <c r="BS32" s="783"/>
      <c r="BT32" s="783"/>
      <c r="BU32" s="783"/>
      <c r="BV32" s="783"/>
      <c r="BW32" s="783"/>
      <c r="BX32" s="783"/>
      <c r="BY32" s="783"/>
      <c r="BZ32" s="783"/>
      <c r="CA32" s="783"/>
      <c r="CB32" s="783"/>
      <c r="CC32" s="783"/>
      <c r="CD32" s="783"/>
      <c r="CE32" s="783"/>
      <c r="CF32" s="783"/>
      <c r="CG32" s="783"/>
      <c r="CH32" s="783"/>
      <c r="CI32" s="783"/>
      <c r="CJ32" s="783"/>
      <c r="CK32" s="783"/>
      <c r="CL32" s="783"/>
      <c r="CM32" s="783"/>
      <c r="CN32" s="783"/>
      <c r="CO32" s="783"/>
      <c r="CP32" s="783"/>
      <c r="CQ32" s="783"/>
      <c r="CR32" s="783"/>
      <c r="CS32" s="783"/>
      <c r="CT32" s="783"/>
      <c r="CU32" s="783"/>
      <c r="CV32" s="783"/>
      <c r="CW32" s="783"/>
      <c r="CX32" s="783"/>
      <c r="CY32" s="783"/>
      <c r="CZ32" s="783"/>
      <c r="DA32" s="783"/>
      <c r="DB32" s="783"/>
      <c r="DC32" s="783"/>
      <c r="DD32" s="783"/>
      <c r="DE32" s="783"/>
      <c r="DF32" s="783"/>
      <c r="DG32" s="783"/>
      <c r="DH32" s="783"/>
      <c r="DI32" s="783"/>
      <c r="DJ32" s="783"/>
      <c r="DK32" s="783"/>
      <c r="DL32" s="783"/>
      <c r="DM32" s="783"/>
    </row>
    <row r="33" spans="1:17">
      <c r="A33" s="792"/>
      <c r="B33" s="94"/>
      <c r="C33" s="94"/>
      <c r="D33" s="94"/>
      <c r="E33" s="98"/>
      <c r="F33" s="94"/>
      <c r="G33" s="98"/>
      <c r="H33" s="94"/>
      <c r="I33" s="98"/>
      <c r="J33" s="94"/>
      <c r="K33" s="94"/>
      <c r="L33" s="94"/>
      <c r="M33" s="98"/>
      <c r="N33" s="98"/>
      <c r="O33" s="98"/>
      <c r="P33" s="98"/>
      <c r="Q33" s="94"/>
    </row>
  </sheetData>
  <mergeCells count="31">
    <mergeCell ref="J24:Q24"/>
    <mergeCell ref="J25:Q25"/>
    <mergeCell ref="N26:Q26"/>
    <mergeCell ref="I26:L26"/>
    <mergeCell ref="A1:C1"/>
    <mergeCell ref="A2:C2"/>
    <mergeCell ref="A4:Q4"/>
    <mergeCell ref="J1:Q1"/>
    <mergeCell ref="J2:Q2"/>
    <mergeCell ref="D26:F26"/>
    <mergeCell ref="A26:B26"/>
    <mergeCell ref="A25:F25"/>
    <mergeCell ref="J5:J6"/>
    <mergeCell ref="P5:P6"/>
    <mergeCell ref="A24:D24"/>
    <mergeCell ref="N32:Q32"/>
    <mergeCell ref="I32:L32"/>
    <mergeCell ref="A32:B32"/>
    <mergeCell ref="Q5:Q6"/>
    <mergeCell ref="A5:A6"/>
    <mergeCell ref="B5:B6"/>
    <mergeCell ref="C5:C6"/>
    <mergeCell ref="D5:D6"/>
    <mergeCell ref="E5:E6"/>
    <mergeCell ref="F5:F6"/>
    <mergeCell ref="K5:M5"/>
    <mergeCell ref="N5:O5"/>
    <mergeCell ref="G5:G6"/>
    <mergeCell ref="H5:H6"/>
    <mergeCell ref="I5:I6"/>
    <mergeCell ref="D32:F32"/>
  </mergeCells>
  <pageMargins left="0.24" right="0.17" top="0.2" bottom="0.23" header="0.21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6</vt:i4>
      </vt:variant>
    </vt:vector>
  </HeadingPairs>
  <TitlesOfParts>
    <vt:vector size="26" baseType="lpstr">
      <vt:lpstr>thay đổi PCCV huyện</vt:lpstr>
      <vt:lpstr>thay đổi PC xã</vt:lpstr>
      <vt:lpstr>GIẢM quỹ lương 19</vt:lpstr>
      <vt:lpstr>PV 116 lưu</vt:lpstr>
      <vt:lpstr>tăng PC thâm niên</vt:lpstr>
      <vt:lpstr>GIẢM quỹ lương 18</vt:lpstr>
      <vt:lpstr>PV châu bình</vt:lpstr>
      <vt:lpstr>vào vùng KTKK</vt:lpstr>
      <vt:lpstr>nâng lương ttyt</vt:lpstr>
      <vt:lpstr>NL trạm</vt:lpstr>
      <vt:lpstr>VKTr YT </vt:lpstr>
      <vt:lpstr>VKTTYT</vt:lpstr>
      <vt:lpstr>giảm thu hút</vt:lpstr>
      <vt:lpstr>bổ sung quỹ lương</vt:lpstr>
      <vt:lpstr>BSPC Châu Bình</vt:lpstr>
      <vt:lpstr>thăng hạng</vt:lpstr>
      <vt:lpstr>NL lãnh đạo</vt:lpstr>
      <vt:lpstr>phụ cấp khoa LS</vt:lpstr>
      <vt:lpstr>1490 huyện</vt:lpstr>
      <vt:lpstr>1490 xã</vt:lpstr>
      <vt:lpstr>'1490 huyện'!Print_Titles</vt:lpstr>
      <vt:lpstr>'1490 xã'!Print_Titles</vt:lpstr>
      <vt:lpstr>'giảm thu hút'!Print_Titles</vt:lpstr>
      <vt:lpstr>'NL trạm'!Print_Titles</vt:lpstr>
      <vt:lpstr>'phụ cấp khoa LS'!Print_Titles</vt:lpstr>
      <vt:lpstr>'tăng PC thâm niên'!Print_Titles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W7X64</cp:lastModifiedBy>
  <cp:lastPrinted>2019-07-11T01:06:13Z</cp:lastPrinted>
  <dcterms:created xsi:type="dcterms:W3CDTF">2019-05-17T02:41:17Z</dcterms:created>
  <dcterms:modified xsi:type="dcterms:W3CDTF">2019-07-11T02:46:43Z</dcterms:modified>
</cp:coreProperties>
</file>